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katerina.janeckova\Nextcloud\akce 2025\realizace\OPS\EZAK\Přílohy\Příloha č. 4 - Položkové rozpočty (Nerudova 7)\"/>
    </mc:Choice>
  </mc:AlternateContent>
  <bookViews>
    <workbookView xWindow="0" yWindow="0" windowWidth="28800" windowHeight="12435" activeTab="2"/>
  </bookViews>
  <sheets>
    <sheet name="Krycí list rozpočtu" sheetId="1" r:id="rId1"/>
    <sheet name="VORN" sheetId="2" state="hidden" r:id="rId2"/>
    <sheet name="Stavební rozpočet" sheetId="3" r:id="rId3"/>
  </sheets>
  <definedNames>
    <definedName name="vorn_sum">VORN!$I$36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J123" i="3" l="1"/>
  <c r="BF123" i="3"/>
  <c r="BD123" i="3"/>
  <c r="AX123" i="3"/>
  <c r="AP123" i="3"/>
  <c r="BI123" i="3" s="1"/>
  <c r="AC123" i="3" s="1"/>
  <c r="AO123" i="3"/>
  <c r="BH123" i="3" s="1"/>
  <c r="AB123" i="3" s="1"/>
  <c r="AK123" i="3"/>
  <c r="AJ123" i="3"/>
  <c r="AH123" i="3"/>
  <c r="AG123" i="3"/>
  <c r="AF123" i="3"/>
  <c r="AE123" i="3"/>
  <c r="AD123" i="3"/>
  <c r="Z123" i="3"/>
  <c r="J123" i="3"/>
  <c r="AL123" i="3" s="1"/>
  <c r="I123" i="3"/>
  <c r="BJ122" i="3"/>
  <c r="BF122" i="3"/>
  <c r="BD122" i="3"/>
  <c r="AP122" i="3"/>
  <c r="BI122" i="3" s="1"/>
  <c r="AC122" i="3" s="1"/>
  <c r="AO122" i="3"/>
  <c r="AW122" i="3" s="1"/>
  <c r="AL122" i="3"/>
  <c r="AK122" i="3"/>
  <c r="AJ122" i="3"/>
  <c r="AH122" i="3"/>
  <c r="AG122" i="3"/>
  <c r="AF122" i="3"/>
  <c r="AE122" i="3"/>
  <c r="AD122" i="3"/>
  <c r="Z122" i="3"/>
  <c r="J122" i="3"/>
  <c r="BJ121" i="3"/>
  <c r="BF121" i="3"/>
  <c r="BD121" i="3"/>
  <c r="AP121" i="3"/>
  <c r="AX121" i="3" s="1"/>
  <c r="AO121" i="3"/>
  <c r="AW121" i="3" s="1"/>
  <c r="BC121" i="3" s="1"/>
  <c r="AK121" i="3"/>
  <c r="AJ121" i="3"/>
  <c r="AH121" i="3"/>
  <c r="AG121" i="3"/>
  <c r="AF121" i="3"/>
  <c r="AE121" i="3"/>
  <c r="AD121" i="3"/>
  <c r="Z121" i="3"/>
  <c r="J121" i="3"/>
  <c r="AL121" i="3" s="1"/>
  <c r="BJ120" i="3"/>
  <c r="BF120" i="3"/>
  <c r="BD120" i="3"/>
  <c r="AP120" i="3"/>
  <c r="AX120" i="3" s="1"/>
  <c r="AO120" i="3"/>
  <c r="H120" i="3" s="1"/>
  <c r="AL120" i="3"/>
  <c r="AK120" i="3"/>
  <c r="AJ120" i="3"/>
  <c r="AH120" i="3"/>
  <c r="AG120" i="3"/>
  <c r="AF120" i="3"/>
  <c r="AE120" i="3"/>
  <c r="AD120" i="3"/>
  <c r="Z120" i="3"/>
  <c r="J120" i="3"/>
  <c r="I120" i="3"/>
  <c r="BJ119" i="3"/>
  <c r="BF119" i="3"/>
  <c r="BD119" i="3"/>
  <c r="AP119" i="3"/>
  <c r="I119" i="3" s="1"/>
  <c r="AO119" i="3"/>
  <c r="BH119" i="3" s="1"/>
  <c r="AB119" i="3" s="1"/>
  <c r="AK119" i="3"/>
  <c r="AJ119" i="3"/>
  <c r="AH119" i="3"/>
  <c r="AG119" i="3"/>
  <c r="AF119" i="3"/>
  <c r="AE119" i="3"/>
  <c r="AD119" i="3"/>
  <c r="Z119" i="3"/>
  <c r="J119" i="3"/>
  <c r="AL119" i="3" s="1"/>
  <c r="H119" i="3"/>
  <c r="BJ118" i="3"/>
  <c r="BF118" i="3"/>
  <c r="BD118" i="3"/>
  <c r="AP118" i="3"/>
  <c r="BI118" i="3" s="1"/>
  <c r="AC118" i="3" s="1"/>
  <c r="AO118" i="3"/>
  <c r="BH118" i="3" s="1"/>
  <c r="AB118" i="3" s="1"/>
  <c r="AK118" i="3"/>
  <c r="AJ118" i="3"/>
  <c r="AH118" i="3"/>
  <c r="AG118" i="3"/>
  <c r="AF118" i="3"/>
  <c r="AE118" i="3"/>
  <c r="AD118" i="3"/>
  <c r="Z118" i="3"/>
  <c r="J118" i="3"/>
  <c r="AL118" i="3" s="1"/>
  <c r="H118" i="3"/>
  <c r="BJ117" i="3"/>
  <c r="BF117" i="3"/>
  <c r="BD117" i="3"/>
  <c r="AW117" i="3"/>
  <c r="AP117" i="3"/>
  <c r="BI117" i="3" s="1"/>
  <c r="AC117" i="3" s="1"/>
  <c r="AO117" i="3"/>
  <c r="BH117" i="3" s="1"/>
  <c r="AK117" i="3"/>
  <c r="AJ117" i="3"/>
  <c r="AH117" i="3"/>
  <c r="AG117" i="3"/>
  <c r="AF117" i="3"/>
  <c r="AE117" i="3"/>
  <c r="AD117" i="3"/>
  <c r="AB117" i="3"/>
  <c r="Z117" i="3"/>
  <c r="J117" i="3"/>
  <c r="AL117" i="3" s="1"/>
  <c r="I117" i="3"/>
  <c r="H117" i="3"/>
  <c r="BJ116" i="3"/>
  <c r="BF116" i="3"/>
  <c r="BD116" i="3"/>
  <c r="AP116" i="3"/>
  <c r="BI116" i="3" s="1"/>
  <c r="AC116" i="3" s="1"/>
  <c r="AO116" i="3"/>
  <c r="BH116" i="3" s="1"/>
  <c r="AB116" i="3" s="1"/>
  <c r="AK116" i="3"/>
  <c r="AJ116" i="3"/>
  <c r="AH116" i="3"/>
  <c r="AG116" i="3"/>
  <c r="AF116" i="3"/>
  <c r="AE116" i="3"/>
  <c r="AD116" i="3"/>
  <c r="Z116" i="3"/>
  <c r="J116" i="3"/>
  <c r="I116" i="3"/>
  <c r="BJ115" i="3"/>
  <c r="BF115" i="3"/>
  <c r="BD115" i="3"/>
  <c r="AP115" i="3"/>
  <c r="BI115" i="3" s="1"/>
  <c r="AC115" i="3" s="1"/>
  <c r="AO115" i="3"/>
  <c r="AK115" i="3"/>
  <c r="AJ115" i="3"/>
  <c r="AH115" i="3"/>
  <c r="AG115" i="3"/>
  <c r="AF115" i="3"/>
  <c r="AE115" i="3"/>
  <c r="AD115" i="3"/>
  <c r="Z115" i="3"/>
  <c r="J115" i="3"/>
  <c r="AL115" i="3" s="1"/>
  <c r="BJ113" i="3"/>
  <c r="BF113" i="3"/>
  <c r="BD113" i="3"/>
  <c r="AX113" i="3"/>
  <c r="AW113" i="3"/>
  <c r="AV113" i="3" s="1"/>
  <c r="AP113" i="3"/>
  <c r="BI113" i="3" s="1"/>
  <c r="AE113" i="3" s="1"/>
  <c r="AO113" i="3"/>
  <c r="H113" i="3" s="1"/>
  <c r="AK113" i="3"/>
  <c r="AJ113" i="3"/>
  <c r="AH113" i="3"/>
  <c r="AG113" i="3"/>
  <c r="AF113" i="3"/>
  <c r="AC113" i="3"/>
  <c r="AB113" i="3"/>
  <c r="Z113" i="3"/>
  <c r="J113" i="3"/>
  <c r="AL113" i="3" s="1"/>
  <c r="I113" i="3"/>
  <c r="BJ112" i="3"/>
  <c r="BH112" i="3"/>
  <c r="AD112" i="3" s="1"/>
  <c r="BF112" i="3"/>
  <c r="BD112" i="3"/>
  <c r="AP112" i="3"/>
  <c r="I112" i="3" s="1"/>
  <c r="AO112" i="3"/>
  <c r="AK112" i="3"/>
  <c r="AJ112" i="3"/>
  <c r="AH112" i="3"/>
  <c r="AG112" i="3"/>
  <c r="AF112" i="3"/>
  <c r="AC112" i="3"/>
  <c r="AB112" i="3"/>
  <c r="Z112" i="3"/>
  <c r="J112" i="3"/>
  <c r="AL112" i="3" s="1"/>
  <c r="BJ111" i="3"/>
  <c r="BI111" i="3"/>
  <c r="AE111" i="3" s="1"/>
  <c r="BF111" i="3"/>
  <c r="BD111" i="3"/>
  <c r="AP111" i="3"/>
  <c r="AO111" i="3"/>
  <c r="AW111" i="3" s="1"/>
  <c r="AK111" i="3"/>
  <c r="AT110" i="3" s="1"/>
  <c r="AJ111" i="3"/>
  <c r="AH111" i="3"/>
  <c r="AG111" i="3"/>
  <c r="AF111" i="3"/>
  <c r="AC111" i="3"/>
  <c r="AB111" i="3"/>
  <c r="Z111" i="3"/>
  <c r="J111" i="3"/>
  <c r="AL111" i="3" s="1"/>
  <c r="BJ109" i="3"/>
  <c r="Z109" i="3" s="1"/>
  <c r="BF109" i="3"/>
  <c r="BD109" i="3"/>
  <c r="AP109" i="3"/>
  <c r="I109" i="3" s="1"/>
  <c r="AO109" i="3"/>
  <c r="BH109" i="3" s="1"/>
  <c r="AK109" i="3"/>
  <c r="AJ109" i="3"/>
  <c r="AH109" i="3"/>
  <c r="AG109" i="3"/>
  <c r="AF109" i="3"/>
  <c r="AE109" i="3"/>
  <c r="AD109" i="3"/>
  <c r="AC109" i="3"/>
  <c r="AB109" i="3"/>
  <c r="J109" i="3"/>
  <c r="AL109" i="3" s="1"/>
  <c r="BJ108" i="3"/>
  <c r="BI108" i="3"/>
  <c r="AE108" i="3" s="1"/>
  <c r="BF108" i="3"/>
  <c r="BD108" i="3"/>
  <c r="AP108" i="3"/>
  <c r="AO108" i="3"/>
  <c r="AW108" i="3" s="1"/>
  <c r="AK108" i="3"/>
  <c r="AJ108" i="3"/>
  <c r="AH108" i="3"/>
  <c r="AG108" i="3"/>
  <c r="AF108" i="3"/>
  <c r="AC108" i="3"/>
  <c r="AB108" i="3"/>
  <c r="Z108" i="3"/>
  <c r="J108" i="3"/>
  <c r="AL108" i="3" s="1"/>
  <c r="BJ107" i="3"/>
  <c r="BF107" i="3"/>
  <c r="BD107" i="3"/>
  <c r="AP107" i="3"/>
  <c r="AX107" i="3" s="1"/>
  <c r="AO107" i="3"/>
  <c r="AW107" i="3" s="1"/>
  <c r="AL107" i="3"/>
  <c r="AK107" i="3"/>
  <c r="AJ107" i="3"/>
  <c r="AH107" i="3"/>
  <c r="AG107" i="3"/>
  <c r="AF107" i="3"/>
  <c r="AC107" i="3"/>
  <c r="AB107" i="3"/>
  <c r="Z107" i="3"/>
  <c r="J107" i="3"/>
  <c r="H107" i="3"/>
  <c r="BJ106" i="3"/>
  <c r="BF106" i="3"/>
  <c r="BD106" i="3"/>
  <c r="AP106" i="3"/>
  <c r="AX106" i="3" s="1"/>
  <c r="AO106" i="3"/>
  <c r="AL106" i="3"/>
  <c r="AK106" i="3"/>
  <c r="AJ106" i="3"/>
  <c r="AH106" i="3"/>
  <c r="AG106" i="3"/>
  <c r="AF106" i="3"/>
  <c r="AC106" i="3"/>
  <c r="AB106" i="3"/>
  <c r="Z106" i="3"/>
  <c r="J106" i="3"/>
  <c r="I106" i="3"/>
  <c r="BJ105" i="3"/>
  <c r="BF105" i="3"/>
  <c r="BD105" i="3"/>
  <c r="AX105" i="3"/>
  <c r="AP105" i="3"/>
  <c r="I105" i="3" s="1"/>
  <c r="AO105" i="3"/>
  <c r="BH105" i="3" s="1"/>
  <c r="AD105" i="3" s="1"/>
  <c r="AK105" i="3"/>
  <c r="AJ105" i="3"/>
  <c r="AH105" i="3"/>
  <c r="AG105" i="3"/>
  <c r="AF105" i="3"/>
  <c r="AC105" i="3"/>
  <c r="AB105" i="3"/>
  <c r="Z105" i="3"/>
  <c r="J105" i="3"/>
  <c r="AL105" i="3" s="1"/>
  <c r="BJ104" i="3"/>
  <c r="BF104" i="3"/>
  <c r="BD104" i="3"/>
  <c r="AP104" i="3"/>
  <c r="BI104" i="3" s="1"/>
  <c r="AG104" i="3" s="1"/>
  <c r="AO104" i="3"/>
  <c r="BH104" i="3" s="1"/>
  <c r="AK104" i="3"/>
  <c r="AJ104" i="3"/>
  <c r="AH104" i="3"/>
  <c r="AF104" i="3"/>
  <c r="AE104" i="3"/>
  <c r="AD104" i="3"/>
  <c r="AC104" i="3"/>
  <c r="AB104" i="3"/>
  <c r="Z104" i="3"/>
  <c r="J104" i="3"/>
  <c r="AL104" i="3" s="1"/>
  <c r="I104" i="3"/>
  <c r="H104" i="3"/>
  <c r="BJ103" i="3"/>
  <c r="BF103" i="3"/>
  <c r="BD103" i="3"/>
  <c r="AX103" i="3"/>
  <c r="AP103" i="3"/>
  <c r="BI103" i="3" s="1"/>
  <c r="AG103" i="3" s="1"/>
  <c r="AO103" i="3"/>
  <c r="BH103" i="3" s="1"/>
  <c r="AF103" i="3" s="1"/>
  <c r="AK103" i="3"/>
  <c r="AJ103" i="3"/>
  <c r="AH103" i="3"/>
  <c r="AE103" i="3"/>
  <c r="AD103" i="3"/>
  <c r="AC103" i="3"/>
  <c r="AB103" i="3"/>
  <c r="Z103" i="3"/>
  <c r="J103" i="3"/>
  <c r="AL103" i="3" s="1"/>
  <c r="H103" i="3"/>
  <c r="BJ102" i="3"/>
  <c r="BF102" i="3"/>
  <c r="BD102" i="3"/>
  <c r="AW102" i="3"/>
  <c r="AP102" i="3"/>
  <c r="BI102" i="3" s="1"/>
  <c r="AE102" i="3" s="1"/>
  <c r="AO102" i="3"/>
  <c r="H102" i="3" s="1"/>
  <c r="AL102" i="3"/>
  <c r="AK102" i="3"/>
  <c r="AJ102" i="3"/>
  <c r="AH102" i="3"/>
  <c r="AG102" i="3"/>
  <c r="AF102" i="3"/>
  <c r="AC102" i="3"/>
  <c r="AB102" i="3"/>
  <c r="Z102" i="3"/>
  <c r="J102" i="3"/>
  <c r="I102" i="3"/>
  <c r="BJ101" i="3"/>
  <c r="BH101" i="3"/>
  <c r="AD101" i="3" s="1"/>
  <c r="BF101" i="3"/>
  <c r="BD101" i="3"/>
  <c r="AP101" i="3"/>
  <c r="I101" i="3" s="1"/>
  <c r="AO101" i="3"/>
  <c r="AK101" i="3"/>
  <c r="AJ101" i="3"/>
  <c r="AH101" i="3"/>
  <c r="AG101" i="3"/>
  <c r="AF101" i="3"/>
  <c r="AC101" i="3"/>
  <c r="AB101" i="3"/>
  <c r="Z101" i="3"/>
  <c r="J101" i="3"/>
  <c r="AL101" i="3" s="1"/>
  <c r="BJ100" i="3"/>
  <c r="BF100" i="3"/>
  <c r="BD100" i="3"/>
  <c r="AP100" i="3"/>
  <c r="AO100" i="3"/>
  <c r="AW100" i="3" s="1"/>
  <c r="AL100" i="3"/>
  <c r="AK100" i="3"/>
  <c r="AJ100" i="3"/>
  <c r="AH100" i="3"/>
  <c r="AG100" i="3"/>
  <c r="AF100" i="3"/>
  <c r="AC100" i="3"/>
  <c r="AB100" i="3"/>
  <c r="Z100" i="3"/>
  <c r="J100" i="3"/>
  <c r="H100" i="3"/>
  <c r="BJ99" i="3"/>
  <c r="BF99" i="3"/>
  <c r="BD99" i="3"/>
  <c r="AP99" i="3"/>
  <c r="AX99" i="3" s="1"/>
  <c r="AO99" i="3"/>
  <c r="AW99" i="3" s="1"/>
  <c r="AL99" i="3"/>
  <c r="AK99" i="3"/>
  <c r="AJ99" i="3"/>
  <c r="AH99" i="3"/>
  <c r="AG99" i="3"/>
  <c r="AF99" i="3"/>
  <c r="AC99" i="3"/>
  <c r="AB99" i="3"/>
  <c r="Z99" i="3"/>
  <c r="J99" i="3"/>
  <c r="I99" i="3"/>
  <c r="H99" i="3"/>
  <c r="BJ98" i="3"/>
  <c r="BF98" i="3"/>
  <c r="BD98" i="3"/>
  <c r="AP98" i="3"/>
  <c r="AO98" i="3"/>
  <c r="H98" i="3" s="1"/>
  <c r="AK98" i="3"/>
  <c r="AJ98" i="3"/>
  <c r="AH98" i="3"/>
  <c r="AG98" i="3"/>
  <c r="AF98" i="3"/>
  <c r="AC98" i="3"/>
  <c r="AB98" i="3"/>
  <c r="Z98" i="3"/>
  <c r="J98" i="3"/>
  <c r="AL98" i="3" s="1"/>
  <c r="I98" i="3"/>
  <c r="BJ97" i="3"/>
  <c r="BF97" i="3"/>
  <c r="BD97" i="3"/>
  <c r="AP97" i="3"/>
  <c r="AO97" i="3"/>
  <c r="BH97" i="3" s="1"/>
  <c r="AD97" i="3" s="1"/>
  <c r="AK97" i="3"/>
  <c r="AJ97" i="3"/>
  <c r="AH97" i="3"/>
  <c r="AG97" i="3"/>
  <c r="AF97" i="3"/>
  <c r="AC97" i="3"/>
  <c r="AB97" i="3"/>
  <c r="Z97" i="3"/>
  <c r="J97" i="3"/>
  <c r="AL97" i="3" s="1"/>
  <c r="BJ96" i="3"/>
  <c r="BF96" i="3"/>
  <c r="BD96" i="3"/>
  <c r="AW96" i="3"/>
  <c r="AP96" i="3"/>
  <c r="AX96" i="3" s="1"/>
  <c r="BC96" i="3" s="1"/>
  <c r="AO96" i="3"/>
  <c r="BH96" i="3" s="1"/>
  <c r="AD96" i="3" s="1"/>
  <c r="AK96" i="3"/>
  <c r="AJ96" i="3"/>
  <c r="AH96" i="3"/>
  <c r="AG96" i="3"/>
  <c r="AF96" i="3"/>
  <c r="AC96" i="3"/>
  <c r="AB96" i="3"/>
  <c r="Z96" i="3"/>
  <c r="J96" i="3"/>
  <c r="AL96" i="3" s="1"/>
  <c r="H96" i="3"/>
  <c r="BJ95" i="3"/>
  <c r="BF95" i="3"/>
  <c r="BD95" i="3"/>
  <c r="AX95" i="3"/>
  <c r="AP95" i="3"/>
  <c r="BI95" i="3" s="1"/>
  <c r="AE95" i="3" s="1"/>
  <c r="AO95" i="3"/>
  <c r="BH95" i="3" s="1"/>
  <c r="AD95" i="3" s="1"/>
  <c r="AK95" i="3"/>
  <c r="AJ95" i="3"/>
  <c r="AH95" i="3"/>
  <c r="AG95" i="3"/>
  <c r="AF95" i="3"/>
  <c r="AC95" i="3"/>
  <c r="AB95" i="3"/>
  <c r="Z95" i="3"/>
  <c r="J95" i="3"/>
  <c r="AL95" i="3" s="1"/>
  <c r="I95" i="3"/>
  <c r="BJ94" i="3"/>
  <c r="BF94" i="3"/>
  <c r="BD94" i="3"/>
  <c r="AX94" i="3"/>
  <c r="AP94" i="3"/>
  <c r="BI94" i="3" s="1"/>
  <c r="AE94" i="3" s="1"/>
  <c r="AO94" i="3"/>
  <c r="H94" i="3" s="1"/>
  <c r="AL94" i="3"/>
  <c r="AK94" i="3"/>
  <c r="AJ94" i="3"/>
  <c r="AS93" i="3" s="1"/>
  <c r="AH94" i="3"/>
  <c r="AG94" i="3"/>
  <c r="AF94" i="3"/>
  <c r="AC94" i="3"/>
  <c r="AB94" i="3"/>
  <c r="Z94" i="3"/>
  <c r="J94" i="3"/>
  <c r="I94" i="3"/>
  <c r="BJ92" i="3"/>
  <c r="Z92" i="3" s="1"/>
  <c r="BF92" i="3"/>
  <c r="BD92" i="3"/>
  <c r="AW92" i="3"/>
  <c r="AP92" i="3"/>
  <c r="BI92" i="3" s="1"/>
  <c r="AO92" i="3"/>
  <c r="BH92" i="3" s="1"/>
  <c r="AK92" i="3"/>
  <c r="AJ92" i="3"/>
  <c r="AH92" i="3"/>
  <c r="AG92" i="3"/>
  <c r="AF92" i="3"/>
  <c r="AE92" i="3"/>
  <c r="AD92" i="3"/>
  <c r="AC92" i="3"/>
  <c r="AB92" i="3"/>
  <c r="J92" i="3"/>
  <c r="AL92" i="3" s="1"/>
  <c r="I92" i="3"/>
  <c r="H92" i="3"/>
  <c r="BJ91" i="3"/>
  <c r="BF91" i="3"/>
  <c r="BD91" i="3"/>
  <c r="AX91" i="3"/>
  <c r="AP91" i="3"/>
  <c r="BI91" i="3" s="1"/>
  <c r="AE91" i="3" s="1"/>
  <c r="AO91" i="3"/>
  <c r="H91" i="3" s="1"/>
  <c r="AK91" i="3"/>
  <c r="AJ91" i="3"/>
  <c r="AH91" i="3"/>
  <c r="AG91" i="3"/>
  <c r="AF91" i="3"/>
  <c r="AC91" i="3"/>
  <c r="AB91" i="3"/>
  <c r="Z91" i="3"/>
  <c r="J91" i="3"/>
  <c r="AL91" i="3" s="1"/>
  <c r="BJ90" i="3"/>
  <c r="BF90" i="3"/>
  <c r="BD90" i="3"/>
  <c r="AP90" i="3"/>
  <c r="I90" i="3" s="1"/>
  <c r="AO90" i="3"/>
  <c r="AK90" i="3"/>
  <c r="AJ90" i="3"/>
  <c r="AH90" i="3"/>
  <c r="AG90" i="3"/>
  <c r="AF90" i="3"/>
  <c r="AC90" i="3"/>
  <c r="AB90" i="3"/>
  <c r="Z90" i="3"/>
  <c r="J90" i="3"/>
  <c r="AL90" i="3" s="1"/>
  <c r="BJ89" i="3"/>
  <c r="BF89" i="3"/>
  <c r="BD89" i="3"/>
  <c r="AP89" i="3"/>
  <c r="AO89" i="3"/>
  <c r="AW89" i="3" s="1"/>
  <c r="AL89" i="3"/>
  <c r="AK89" i="3"/>
  <c r="AJ89" i="3"/>
  <c r="AH89" i="3"/>
  <c r="AG89" i="3"/>
  <c r="AF89" i="3"/>
  <c r="AC89" i="3"/>
  <c r="AB89" i="3"/>
  <c r="Z89" i="3"/>
  <c r="J89" i="3"/>
  <c r="BJ88" i="3"/>
  <c r="BF88" i="3"/>
  <c r="BD88" i="3"/>
  <c r="AP88" i="3"/>
  <c r="AX88" i="3" s="1"/>
  <c r="AV88" i="3" s="1"/>
  <c r="AO88" i="3"/>
  <c r="AW88" i="3" s="1"/>
  <c r="AL88" i="3"/>
  <c r="AK88" i="3"/>
  <c r="AJ88" i="3"/>
  <c r="AH88" i="3"/>
  <c r="AG88" i="3"/>
  <c r="AF88" i="3"/>
  <c r="AC88" i="3"/>
  <c r="AB88" i="3"/>
  <c r="Z88" i="3"/>
  <c r="J88" i="3"/>
  <c r="H88" i="3"/>
  <c r="BJ87" i="3"/>
  <c r="BF87" i="3"/>
  <c r="BD87" i="3"/>
  <c r="AP87" i="3"/>
  <c r="AX87" i="3" s="1"/>
  <c r="AO87" i="3"/>
  <c r="AL87" i="3"/>
  <c r="AK87" i="3"/>
  <c r="AJ87" i="3"/>
  <c r="AH87" i="3"/>
  <c r="AG87" i="3"/>
  <c r="AF87" i="3"/>
  <c r="AC87" i="3"/>
  <c r="AB87" i="3"/>
  <c r="Z87" i="3"/>
  <c r="J87" i="3"/>
  <c r="BJ86" i="3"/>
  <c r="BF86" i="3"/>
  <c r="BD86" i="3"/>
  <c r="AP86" i="3"/>
  <c r="I86" i="3" s="1"/>
  <c r="AO86" i="3"/>
  <c r="AW86" i="3" s="1"/>
  <c r="AK86" i="3"/>
  <c r="AJ86" i="3"/>
  <c r="AH86" i="3"/>
  <c r="AG86" i="3"/>
  <c r="AF86" i="3"/>
  <c r="AC86" i="3"/>
  <c r="AB86" i="3"/>
  <c r="Z86" i="3"/>
  <c r="J86" i="3"/>
  <c r="AL86" i="3" s="1"/>
  <c r="H86" i="3"/>
  <c r="BJ85" i="3"/>
  <c r="BF85" i="3"/>
  <c r="BD85" i="3"/>
  <c r="AW85" i="3"/>
  <c r="BC85" i="3" s="1"/>
  <c r="AP85" i="3"/>
  <c r="AX85" i="3" s="1"/>
  <c r="AO85" i="3"/>
  <c r="BH85" i="3" s="1"/>
  <c r="AK85" i="3"/>
  <c r="AJ85" i="3"/>
  <c r="AH85" i="3"/>
  <c r="AF85" i="3"/>
  <c r="AE85" i="3"/>
  <c r="AD85" i="3"/>
  <c r="AC85" i="3"/>
  <c r="AB85" i="3"/>
  <c r="Z85" i="3"/>
  <c r="J85" i="3"/>
  <c r="AL85" i="3" s="1"/>
  <c r="I85" i="3"/>
  <c r="H85" i="3"/>
  <c r="BJ84" i="3"/>
  <c r="BF84" i="3"/>
  <c r="BD84" i="3"/>
  <c r="AW84" i="3"/>
  <c r="AP84" i="3"/>
  <c r="BI84" i="3" s="1"/>
  <c r="AG84" i="3" s="1"/>
  <c r="AO84" i="3"/>
  <c r="BH84" i="3" s="1"/>
  <c r="AF84" i="3" s="1"/>
  <c r="AK84" i="3"/>
  <c r="AJ84" i="3"/>
  <c r="AH84" i="3"/>
  <c r="AE84" i="3"/>
  <c r="AD84" i="3"/>
  <c r="AC84" i="3"/>
  <c r="AB84" i="3"/>
  <c r="Z84" i="3"/>
  <c r="J84" i="3"/>
  <c r="AL84" i="3" s="1"/>
  <c r="H84" i="3"/>
  <c r="BJ83" i="3"/>
  <c r="BF83" i="3"/>
  <c r="BD83" i="3"/>
  <c r="AP83" i="3"/>
  <c r="BI83" i="3" s="1"/>
  <c r="AE83" i="3" s="1"/>
  <c r="AO83" i="3"/>
  <c r="H83" i="3" s="1"/>
  <c r="AK83" i="3"/>
  <c r="AJ83" i="3"/>
  <c r="AH83" i="3"/>
  <c r="AG83" i="3"/>
  <c r="AF83" i="3"/>
  <c r="AC83" i="3"/>
  <c r="AB83" i="3"/>
  <c r="Z83" i="3"/>
  <c r="J83" i="3"/>
  <c r="AL83" i="3" s="1"/>
  <c r="I83" i="3"/>
  <c r="BJ82" i="3"/>
  <c r="BF82" i="3"/>
  <c r="BD82" i="3"/>
  <c r="AX82" i="3"/>
  <c r="AP82" i="3"/>
  <c r="I82" i="3" s="1"/>
  <c r="AO82" i="3"/>
  <c r="AK82" i="3"/>
  <c r="AJ82" i="3"/>
  <c r="AH82" i="3"/>
  <c r="AG82" i="3"/>
  <c r="AF82" i="3"/>
  <c r="AC82" i="3"/>
  <c r="AB82" i="3"/>
  <c r="Z82" i="3"/>
  <c r="J82" i="3"/>
  <c r="AL82" i="3" s="1"/>
  <c r="BJ81" i="3"/>
  <c r="BF81" i="3"/>
  <c r="BD81" i="3"/>
  <c r="AP81" i="3"/>
  <c r="AO81" i="3"/>
  <c r="AW81" i="3" s="1"/>
  <c r="AK81" i="3"/>
  <c r="AJ81" i="3"/>
  <c r="AH81" i="3"/>
  <c r="AG81" i="3"/>
  <c r="AF81" i="3"/>
  <c r="AC81" i="3"/>
  <c r="AB81" i="3"/>
  <c r="Z81" i="3"/>
  <c r="J81" i="3"/>
  <c r="AL81" i="3" s="1"/>
  <c r="BJ80" i="3"/>
  <c r="BF80" i="3"/>
  <c r="BD80" i="3"/>
  <c r="AV80" i="3"/>
  <c r="AP80" i="3"/>
  <c r="AX80" i="3" s="1"/>
  <c r="AO80" i="3"/>
  <c r="AW80" i="3" s="1"/>
  <c r="BC80" i="3" s="1"/>
  <c r="AK80" i="3"/>
  <c r="AJ80" i="3"/>
  <c r="AH80" i="3"/>
  <c r="AG80" i="3"/>
  <c r="AF80" i="3"/>
  <c r="AC80" i="3"/>
  <c r="AB80" i="3"/>
  <c r="Z80" i="3"/>
  <c r="J80" i="3"/>
  <c r="AL80" i="3" s="1"/>
  <c r="BJ79" i="3"/>
  <c r="BF79" i="3"/>
  <c r="BD79" i="3"/>
  <c r="AP79" i="3"/>
  <c r="AX79" i="3" s="1"/>
  <c r="AO79" i="3"/>
  <c r="H79" i="3" s="1"/>
  <c r="AL79" i="3"/>
  <c r="AK79" i="3"/>
  <c r="AJ79" i="3"/>
  <c r="AH79" i="3"/>
  <c r="AG79" i="3"/>
  <c r="AF79" i="3"/>
  <c r="AC79" i="3"/>
  <c r="AB79" i="3"/>
  <c r="Z79" i="3"/>
  <c r="J79" i="3"/>
  <c r="I79" i="3"/>
  <c r="BJ78" i="3"/>
  <c r="BF78" i="3"/>
  <c r="BD78" i="3"/>
  <c r="AP78" i="3"/>
  <c r="I78" i="3" s="1"/>
  <c r="AO78" i="3"/>
  <c r="AW78" i="3" s="1"/>
  <c r="AK78" i="3"/>
  <c r="AJ78" i="3"/>
  <c r="AH78" i="3"/>
  <c r="AG78" i="3"/>
  <c r="AF78" i="3"/>
  <c r="AC78" i="3"/>
  <c r="AB78" i="3"/>
  <c r="Z78" i="3"/>
  <c r="J78" i="3"/>
  <c r="AL78" i="3" s="1"/>
  <c r="BJ77" i="3"/>
  <c r="BF77" i="3"/>
  <c r="BD77" i="3"/>
  <c r="AP77" i="3"/>
  <c r="AO77" i="3"/>
  <c r="BH77" i="3" s="1"/>
  <c r="AD77" i="3" s="1"/>
  <c r="AK77" i="3"/>
  <c r="AJ77" i="3"/>
  <c r="AH77" i="3"/>
  <c r="AG77" i="3"/>
  <c r="AF77" i="3"/>
  <c r="AC77" i="3"/>
  <c r="AB77" i="3"/>
  <c r="Z77" i="3"/>
  <c r="J77" i="3"/>
  <c r="AL77" i="3" s="1"/>
  <c r="BJ76" i="3"/>
  <c r="BF76" i="3"/>
  <c r="BD76" i="3"/>
  <c r="AW76" i="3"/>
  <c r="AP76" i="3"/>
  <c r="BI76" i="3" s="1"/>
  <c r="AE76" i="3" s="1"/>
  <c r="AO76" i="3"/>
  <c r="BH76" i="3" s="1"/>
  <c r="AD76" i="3" s="1"/>
  <c r="AK76" i="3"/>
  <c r="AJ76" i="3"/>
  <c r="AH76" i="3"/>
  <c r="AG76" i="3"/>
  <c r="AF76" i="3"/>
  <c r="AC76" i="3"/>
  <c r="AB76" i="3"/>
  <c r="Z76" i="3"/>
  <c r="J76" i="3"/>
  <c r="AL76" i="3" s="1"/>
  <c r="H76" i="3"/>
  <c r="BJ75" i="3"/>
  <c r="BF75" i="3"/>
  <c r="BD75" i="3"/>
  <c r="AX75" i="3"/>
  <c r="AP75" i="3"/>
  <c r="BI75" i="3" s="1"/>
  <c r="AE75" i="3" s="1"/>
  <c r="AO75" i="3"/>
  <c r="BH75" i="3" s="1"/>
  <c r="AD75" i="3" s="1"/>
  <c r="AK75" i="3"/>
  <c r="AJ75" i="3"/>
  <c r="AH75" i="3"/>
  <c r="AG75" i="3"/>
  <c r="AF75" i="3"/>
  <c r="AC75" i="3"/>
  <c r="AB75" i="3"/>
  <c r="Z75" i="3"/>
  <c r="J75" i="3"/>
  <c r="AL75" i="3" s="1"/>
  <c r="H75" i="3"/>
  <c r="BJ74" i="3"/>
  <c r="BH74" i="3"/>
  <c r="AD74" i="3" s="1"/>
  <c r="BF74" i="3"/>
  <c r="BD74" i="3"/>
  <c r="AP74" i="3"/>
  <c r="I74" i="3" s="1"/>
  <c r="AO74" i="3"/>
  <c r="AK74" i="3"/>
  <c r="AJ74" i="3"/>
  <c r="AH74" i="3"/>
  <c r="AG74" i="3"/>
  <c r="AF74" i="3"/>
  <c r="AC74" i="3"/>
  <c r="AB74" i="3"/>
  <c r="Z74" i="3"/>
  <c r="J74" i="3"/>
  <c r="AL74" i="3" s="1"/>
  <c r="BJ73" i="3"/>
  <c r="BI73" i="3"/>
  <c r="AE73" i="3" s="1"/>
  <c r="BF73" i="3"/>
  <c r="BD73" i="3"/>
  <c r="AP73" i="3"/>
  <c r="AO73" i="3"/>
  <c r="AW73" i="3" s="1"/>
  <c r="AK73" i="3"/>
  <c r="AJ73" i="3"/>
  <c r="AH73" i="3"/>
  <c r="AG73" i="3"/>
  <c r="AF73" i="3"/>
  <c r="AC73" i="3"/>
  <c r="AB73" i="3"/>
  <c r="Z73" i="3"/>
  <c r="J73" i="3"/>
  <c r="AL73" i="3" s="1"/>
  <c r="BJ72" i="3"/>
  <c r="BF72" i="3"/>
  <c r="BD72" i="3"/>
  <c r="AP72" i="3"/>
  <c r="AX72" i="3" s="1"/>
  <c r="AO72" i="3"/>
  <c r="AL72" i="3"/>
  <c r="AK72" i="3"/>
  <c r="AJ72" i="3"/>
  <c r="AH72" i="3"/>
  <c r="AG72" i="3"/>
  <c r="AF72" i="3"/>
  <c r="AC72" i="3"/>
  <c r="AB72" i="3"/>
  <c r="Z72" i="3"/>
  <c r="J72" i="3"/>
  <c r="BJ71" i="3"/>
  <c r="BF71" i="3"/>
  <c r="BD71" i="3"/>
  <c r="AP71" i="3"/>
  <c r="AX71" i="3" s="1"/>
  <c r="AO71" i="3"/>
  <c r="H71" i="3" s="1"/>
  <c r="AL71" i="3"/>
  <c r="AK71" i="3"/>
  <c r="AJ71" i="3"/>
  <c r="AH71" i="3"/>
  <c r="AG71" i="3"/>
  <c r="AF71" i="3"/>
  <c r="AC71" i="3"/>
  <c r="AB71" i="3"/>
  <c r="Z71" i="3"/>
  <c r="J71" i="3"/>
  <c r="I71" i="3"/>
  <c r="BJ70" i="3"/>
  <c r="BF70" i="3"/>
  <c r="BD70" i="3"/>
  <c r="AP70" i="3"/>
  <c r="AO70" i="3"/>
  <c r="AW70" i="3" s="1"/>
  <c r="AK70" i="3"/>
  <c r="AJ70" i="3"/>
  <c r="AH70" i="3"/>
  <c r="AG70" i="3"/>
  <c r="AF70" i="3"/>
  <c r="AC70" i="3"/>
  <c r="AB70" i="3"/>
  <c r="Z70" i="3"/>
  <c r="J70" i="3"/>
  <c r="AL70" i="3" s="1"/>
  <c r="BJ69" i="3"/>
  <c r="BF69" i="3"/>
  <c r="BD69" i="3"/>
  <c r="AP69" i="3"/>
  <c r="AX69" i="3" s="1"/>
  <c r="AO69" i="3"/>
  <c r="BH69" i="3" s="1"/>
  <c r="AD69" i="3" s="1"/>
  <c r="AK69" i="3"/>
  <c r="AJ69" i="3"/>
  <c r="AH69" i="3"/>
  <c r="AG69" i="3"/>
  <c r="AF69" i="3"/>
  <c r="AC69" i="3"/>
  <c r="AB69" i="3"/>
  <c r="Z69" i="3"/>
  <c r="J69" i="3"/>
  <c r="AL69" i="3" s="1"/>
  <c r="BJ68" i="3"/>
  <c r="BF68" i="3"/>
  <c r="BD68" i="3"/>
  <c r="AX68" i="3"/>
  <c r="AP68" i="3"/>
  <c r="BI68" i="3" s="1"/>
  <c r="AE68" i="3" s="1"/>
  <c r="AO68" i="3"/>
  <c r="BH68" i="3" s="1"/>
  <c r="AD68" i="3" s="1"/>
  <c r="AK68" i="3"/>
  <c r="AJ68" i="3"/>
  <c r="AH68" i="3"/>
  <c r="AG68" i="3"/>
  <c r="AF68" i="3"/>
  <c r="AC68" i="3"/>
  <c r="AB68" i="3"/>
  <c r="Z68" i="3"/>
  <c r="J68" i="3"/>
  <c r="AL68" i="3" s="1"/>
  <c r="I68" i="3"/>
  <c r="BJ67" i="3"/>
  <c r="BF67" i="3"/>
  <c r="BD67" i="3"/>
  <c r="AP67" i="3"/>
  <c r="BI67" i="3" s="1"/>
  <c r="AE67" i="3" s="1"/>
  <c r="AO67" i="3"/>
  <c r="H67" i="3" s="1"/>
  <c r="AK67" i="3"/>
  <c r="AJ67" i="3"/>
  <c r="AH67" i="3"/>
  <c r="AG67" i="3"/>
  <c r="AF67" i="3"/>
  <c r="AC67" i="3"/>
  <c r="AB67" i="3"/>
  <c r="Z67" i="3"/>
  <c r="J67" i="3"/>
  <c r="I67" i="3"/>
  <c r="BJ65" i="3"/>
  <c r="Z65" i="3" s="1"/>
  <c r="BF65" i="3"/>
  <c r="BD65" i="3"/>
  <c r="AW65" i="3"/>
  <c r="AP65" i="3"/>
  <c r="BI65" i="3" s="1"/>
  <c r="AO65" i="3"/>
  <c r="BH65" i="3" s="1"/>
  <c r="AK65" i="3"/>
  <c r="AJ65" i="3"/>
  <c r="AH65" i="3"/>
  <c r="AG65" i="3"/>
  <c r="AF65" i="3"/>
  <c r="AE65" i="3"/>
  <c r="AD65" i="3"/>
  <c r="AC65" i="3"/>
  <c r="AB65" i="3"/>
  <c r="J65" i="3"/>
  <c r="AL65" i="3" s="1"/>
  <c r="I65" i="3"/>
  <c r="H65" i="3"/>
  <c r="BJ64" i="3"/>
  <c r="BF64" i="3"/>
  <c r="BD64" i="3"/>
  <c r="AP64" i="3"/>
  <c r="BI64" i="3" s="1"/>
  <c r="AE64" i="3" s="1"/>
  <c r="AO64" i="3"/>
  <c r="H64" i="3" s="1"/>
  <c r="AK64" i="3"/>
  <c r="AJ64" i="3"/>
  <c r="AH64" i="3"/>
  <c r="AG64" i="3"/>
  <c r="AF64" i="3"/>
  <c r="AC64" i="3"/>
  <c r="AB64" i="3"/>
  <c r="Z64" i="3"/>
  <c r="J64" i="3"/>
  <c r="AL64" i="3" s="1"/>
  <c r="I64" i="3"/>
  <c r="BJ63" i="3"/>
  <c r="BF63" i="3"/>
  <c r="BD63" i="3"/>
  <c r="AX63" i="3"/>
  <c r="AP63" i="3"/>
  <c r="I63" i="3" s="1"/>
  <c r="AO63" i="3"/>
  <c r="BH63" i="3" s="1"/>
  <c r="AD63" i="3" s="1"/>
  <c r="AK63" i="3"/>
  <c r="AJ63" i="3"/>
  <c r="AH63" i="3"/>
  <c r="AG63" i="3"/>
  <c r="AF63" i="3"/>
  <c r="AC63" i="3"/>
  <c r="AB63" i="3"/>
  <c r="Z63" i="3"/>
  <c r="J63" i="3"/>
  <c r="AL63" i="3" s="1"/>
  <c r="BJ62" i="3"/>
  <c r="BF62" i="3"/>
  <c r="BD62" i="3"/>
  <c r="AP62" i="3"/>
  <c r="BI62" i="3" s="1"/>
  <c r="AE62" i="3" s="1"/>
  <c r="AO62" i="3"/>
  <c r="AW62" i="3" s="1"/>
  <c r="AL62" i="3"/>
  <c r="AK62" i="3"/>
  <c r="AJ62" i="3"/>
  <c r="AH62" i="3"/>
  <c r="AG62" i="3"/>
  <c r="AF62" i="3"/>
  <c r="AC62" i="3"/>
  <c r="AB62" i="3"/>
  <c r="Z62" i="3"/>
  <c r="J62" i="3"/>
  <c r="H62" i="3"/>
  <c r="BJ61" i="3"/>
  <c r="BF61" i="3"/>
  <c r="BD61" i="3"/>
  <c r="AP61" i="3"/>
  <c r="I61" i="3" s="1"/>
  <c r="AO61" i="3"/>
  <c r="BH61" i="3" s="1"/>
  <c r="AD61" i="3" s="1"/>
  <c r="AK61" i="3"/>
  <c r="AJ61" i="3"/>
  <c r="AH61" i="3"/>
  <c r="AG61" i="3"/>
  <c r="AF61" i="3"/>
  <c r="AC61" i="3"/>
  <c r="AB61" i="3"/>
  <c r="Z61" i="3"/>
  <c r="J61" i="3"/>
  <c r="AL61" i="3" s="1"/>
  <c r="BJ60" i="3"/>
  <c r="BF60" i="3"/>
  <c r="BD60" i="3"/>
  <c r="AP60" i="3"/>
  <c r="BI60" i="3" s="1"/>
  <c r="AE60" i="3" s="1"/>
  <c r="AO60" i="3"/>
  <c r="AW60" i="3" s="1"/>
  <c r="AL60" i="3"/>
  <c r="AK60" i="3"/>
  <c r="AJ60" i="3"/>
  <c r="AH60" i="3"/>
  <c r="AG60" i="3"/>
  <c r="AF60" i="3"/>
  <c r="AC60" i="3"/>
  <c r="AB60" i="3"/>
  <c r="Z60" i="3"/>
  <c r="J60" i="3"/>
  <c r="I60" i="3"/>
  <c r="BJ59" i="3"/>
  <c r="BF59" i="3"/>
  <c r="BD59" i="3"/>
  <c r="AP59" i="3"/>
  <c r="AX59" i="3" s="1"/>
  <c r="AO59" i="3"/>
  <c r="AL59" i="3"/>
  <c r="AK59" i="3"/>
  <c r="AJ59" i="3"/>
  <c r="AH59" i="3"/>
  <c r="AG59" i="3"/>
  <c r="AF59" i="3"/>
  <c r="AC59" i="3"/>
  <c r="AB59" i="3"/>
  <c r="Z59" i="3"/>
  <c r="J59" i="3"/>
  <c r="BJ58" i="3"/>
  <c r="BF58" i="3"/>
  <c r="BD58" i="3"/>
  <c r="AP58" i="3"/>
  <c r="AO58" i="3"/>
  <c r="BH58" i="3" s="1"/>
  <c r="AD58" i="3" s="1"/>
  <c r="AK58" i="3"/>
  <c r="AJ58" i="3"/>
  <c r="AH58" i="3"/>
  <c r="AG58" i="3"/>
  <c r="AF58" i="3"/>
  <c r="AC58" i="3"/>
  <c r="AB58" i="3"/>
  <c r="Z58" i="3"/>
  <c r="J58" i="3"/>
  <c r="AL58" i="3" s="1"/>
  <c r="BJ57" i="3"/>
  <c r="BF57" i="3"/>
  <c r="BD57" i="3"/>
  <c r="AW57" i="3"/>
  <c r="AP57" i="3"/>
  <c r="BI57" i="3" s="1"/>
  <c r="AE57" i="3" s="1"/>
  <c r="AO57" i="3"/>
  <c r="BH57" i="3" s="1"/>
  <c r="AD57" i="3" s="1"/>
  <c r="AK57" i="3"/>
  <c r="AJ57" i="3"/>
  <c r="AH57" i="3"/>
  <c r="AG57" i="3"/>
  <c r="AF57" i="3"/>
  <c r="AC57" i="3"/>
  <c r="AB57" i="3"/>
  <c r="Z57" i="3"/>
  <c r="J57" i="3"/>
  <c r="AL57" i="3" s="1"/>
  <c r="BJ56" i="3"/>
  <c r="BF56" i="3"/>
  <c r="BD56" i="3"/>
  <c r="AW56" i="3"/>
  <c r="AP56" i="3"/>
  <c r="BI56" i="3" s="1"/>
  <c r="AE56" i="3" s="1"/>
  <c r="AO56" i="3"/>
  <c r="BH56" i="3" s="1"/>
  <c r="AD56" i="3" s="1"/>
  <c r="AK56" i="3"/>
  <c r="AJ56" i="3"/>
  <c r="AH56" i="3"/>
  <c r="AG56" i="3"/>
  <c r="AF56" i="3"/>
  <c r="AC56" i="3"/>
  <c r="AB56" i="3"/>
  <c r="Z56" i="3"/>
  <c r="J56" i="3"/>
  <c r="AL56" i="3" s="1"/>
  <c r="H56" i="3"/>
  <c r="BJ55" i="3"/>
  <c r="BF55" i="3"/>
  <c r="BD55" i="3"/>
  <c r="AX55" i="3"/>
  <c r="AP55" i="3"/>
  <c r="BI55" i="3" s="1"/>
  <c r="AE55" i="3" s="1"/>
  <c r="AO55" i="3"/>
  <c r="BH55" i="3" s="1"/>
  <c r="AD55" i="3" s="1"/>
  <c r="AK55" i="3"/>
  <c r="AJ55" i="3"/>
  <c r="AH55" i="3"/>
  <c r="AG55" i="3"/>
  <c r="AF55" i="3"/>
  <c r="AC55" i="3"/>
  <c r="AB55" i="3"/>
  <c r="Z55" i="3"/>
  <c r="J55" i="3"/>
  <c r="AL55" i="3" s="1"/>
  <c r="BJ54" i="3"/>
  <c r="BF54" i="3"/>
  <c r="BD54" i="3"/>
  <c r="AP54" i="3"/>
  <c r="BI54" i="3" s="1"/>
  <c r="AE54" i="3" s="1"/>
  <c r="AO54" i="3"/>
  <c r="H54" i="3" s="1"/>
  <c r="AK54" i="3"/>
  <c r="AJ54" i="3"/>
  <c r="AH54" i="3"/>
  <c r="AG54" i="3"/>
  <c r="AF54" i="3"/>
  <c r="AC54" i="3"/>
  <c r="AB54" i="3"/>
  <c r="Z54" i="3"/>
  <c r="J54" i="3"/>
  <c r="AL54" i="3" s="1"/>
  <c r="BJ53" i="3"/>
  <c r="BF53" i="3"/>
  <c r="BD53" i="3"/>
  <c r="AW53" i="3"/>
  <c r="AP53" i="3"/>
  <c r="I53" i="3" s="1"/>
  <c r="AO53" i="3"/>
  <c r="BH53" i="3" s="1"/>
  <c r="AD53" i="3" s="1"/>
  <c r="AK53" i="3"/>
  <c r="AJ53" i="3"/>
  <c r="AH53" i="3"/>
  <c r="AG53" i="3"/>
  <c r="AF53" i="3"/>
  <c r="AC53" i="3"/>
  <c r="AB53" i="3"/>
  <c r="Z53" i="3"/>
  <c r="J53" i="3"/>
  <c r="AL53" i="3" s="1"/>
  <c r="BJ52" i="3"/>
  <c r="BF52" i="3"/>
  <c r="BD52" i="3"/>
  <c r="AP52" i="3"/>
  <c r="BI52" i="3" s="1"/>
  <c r="AE52" i="3" s="1"/>
  <c r="AO52" i="3"/>
  <c r="AW52" i="3" s="1"/>
  <c r="AL52" i="3"/>
  <c r="AK52" i="3"/>
  <c r="AJ52" i="3"/>
  <c r="AH52" i="3"/>
  <c r="AG52" i="3"/>
  <c r="AF52" i="3"/>
  <c r="AC52" i="3"/>
  <c r="AB52" i="3"/>
  <c r="Z52" i="3"/>
  <c r="J52" i="3"/>
  <c r="I52" i="3"/>
  <c r="BJ51" i="3"/>
  <c r="BF51" i="3"/>
  <c r="BD51" i="3"/>
  <c r="AP51" i="3"/>
  <c r="AX51" i="3" s="1"/>
  <c r="AO51" i="3"/>
  <c r="BH51" i="3" s="1"/>
  <c r="AD51" i="3" s="1"/>
  <c r="AL51" i="3"/>
  <c r="AK51" i="3"/>
  <c r="AJ51" i="3"/>
  <c r="AH51" i="3"/>
  <c r="AG51" i="3"/>
  <c r="AF51" i="3"/>
  <c r="AC51" i="3"/>
  <c r="AB51" i="3"/>
  <c r="Z51" i="3"/>
  <c r="J51" i="3"/>
  <c r="BJ50" i="3"/>
  <c r="BF50" i="3"/>
  <c r="BD50" i="3"/>
  <c r="AP50" i="3"/>
  <c r="AO50" i="3"/>
  <c r="AK50" i="3"/>
  <c r="AJ50" i="3"/>
  <c r="AH50" i="3"/>
  <c r="AG50" i="3"/>
  <c r="AF50" i="3"/>
  <c r="AC50" i="3"/>
  <c r="AB50" i="3"/>
  <c r="Z50" i="3"/>
  <c r="J50" i="3"/>
  <c r="AL50" i="3" s="1"/>
  <c r="BJ49" i="3"/>
  <c r="BF49" i="3"/>
  <c r="BD49" i="3"/>
  <c r="AW49" i="3"/>
  <c r="AP49" i="3"/>
  <c r="BI49" i="3" s="1"/>
  <c r="AE49" i="3" s="1"/>
  <c r="AO49" i="3"/>
  <c r="BH49" i="3" s="1"/>
  <c r="AD49" i="3" s="1"/>
  <c r="AK49" i="3"/>
  <c r="AJ49" i="3"/>
  <c r="AH49" i="3"/>
  <c r="AG49" i="3"/>
  <c r="AF49" i="3"/>
  <c r="AC49" i="3"/>
  <c r="AB49" i="3"/>
  <c r="Z49" i="3"/>
  <c r="J49" i="3"/>
  <c r="AL49" i="3" s="1"/>
  <c r="BJ48" i="3"/>
  <c r="BF48" i="3"/>
  <c r="BD48" i="3"/>
  <c r="AW48" i="3"/>
  <c r="AP48" i="3"/>
  <c r="BI48" i="3" s="1"/>
  <c r="AE48" i="3" s="1"/>
  <c r="AO48" i="3"/>
  <c r="BH48" i="3" s="1"/>
  <c r="AD48" i="3" s="1"/>
  <c r="AK48" i="3"/>
  <c r="AJ48" i="3"/>
  <c r="AH48" i="3"/>
  <c r="AG48" i="3"/>
  <c r="AF48" i="3"/>
  <c r="AC48" i="3"/>
  <c r="AB48" i="3"/>
  <c r="Z48" i="3"/>
  <c r="J48" i="3"/>
  <c r="AL48" i="3" s="1"/>
  <c r="H48" i="3"/>
  <c r="BJ47" i="3"/>
  <c r="BF47" i="3"/>
  <c r="BD47" i="3"/>
  <c r="AX47" i="3"/>
  <c r="AP47" i="3"/>
  <c r="BI47" i="3" s="1"/>
  <c r="AE47" i="3" s="1"/>
  <c r="AO47" i="3"/>
  <c r="BH47" i="3" s="1"/>
  <c r="AD47" i="3" s="1"/>
  <c r="AK47" i="3"/>
  <c r="AJ47" i="3"/>
  <c r="AH47" i="3"/>
  <c r="AG47" i="3"/>
  <c r="AF47" i="3"/>
  <c r="AC47" i="3"/>
  <c r="AB47" i="3"/>
  <c r="Z47" i="3"/>
  <c r="J47" i="3"/>
  <c r="AL47" i="3" s="1"/>
  <c r="BJ46" i="3"/>
  <c r="BF46" i="3"/>
  <c r="BD46" i="3"/>
  <c r="AP46" i="3"/>
  <c r="BI46" i="3" s="1"/>
  <c r="AE46" i="3" s="1"/>
  <c r="AO46" i="3"/>
  <c r="H46" i="3" s="1"/>
  <c r="AK46" i="3"/>
  <c r="AJ46" i="3"/>
  <c r="AH46" i="3"/>
  <c r="AG46" i="3"/>
  <c r="AF46" i="3"/>
  <c r="AC46" i="3"/>
  <c r="AB46" i="3"/>
  <c r="Z46" i="3"/>
  <c r="J46" i="3"/>
  <c r="AL46" i="3" s="1"/>
  <c r="BJ45" i="3"/>
  <c r="BF45" i="3"/>
  <c r="BD45" i="3"/>
  <c r="AW45" i="3"/>
  <c r="AP45" i="3"/>
  <c r="I45" i="3" s="1"/>
  <c r="AO45" i="3"/>
  <c r="BH45" i="3" s="1"/>
  <c r="AD45" i="3" s="1"/>
  <c r="AK45" i="3"/>
  <c r="AJ45" i="3"/>
  <c r="AH45" i="3"/>
  <c r="AG45" i="3"/>
  <c r="AF45" i="3"/>
  <c r="AC45" i="3"/>
  <c r="AB45" i="3"/>
  <c r="Z45" i="3"/>
  <c r="J45" i="3"/>
  <c r="AL45" i="3" s="1"/>
  <c r="BJ44" i="3"/>
  <c r="BF44" i="3"/>
  <c r="BD44" i="3"/>
  <c r="AP44" i="3"/>
  <c r="BI44" i="3" s="1"/>
  <c r="AE44" i="3" s="1"/>
  <c r="AO44" i="3"/>
  <c r="AW44" i="3" s="1"/>
  <c r="AL44" i="3"/>
  <c r="AK44" i="3"/>
  <c r="AJ44" i="3"/>
  <c r="AH44" i="3"/>
  <c r="AG44" i="3"/>
  <c r="AF44" i="3"/>
  <c r="AC44" i="3"/>
  <c r="AB44" i="3"/>
  <c r="Z44" i="3"/>
  <c r="J44" i="3"/>
  <c r="I44" i="3"/>
  <c r="BJ43" i="3"/>
  <c r="BF43" i="3"/>
  <c r="BD43" i="3"/>
  <c r="AP43" i="3"/>
  <c r="AX43" i="3" s="1"/>
  <c r="AO43" i="3"/>
  <c r="BH43" i="3" s="1"/>
  <c r="AD43" i="3" s="1"/>
  <c r="AK43" i="3"/>
  <c r="AJ43" i="3"/>
  <c r="AH43" i="3"/>
  <c r="AG43" i="3"/>
  <c r="AF43" i="3"/>
  <c r="AC43" i="3"/>
  <c r="AB43" i="3"/>
  <c r="Z43" i="3"/>
  <c r="J43" i="3"/>
  <c r="AL43" i="3" s="1"/>
  <c r="BJ42" i="3"/>
  <c r="BF42" i="3"/>
  <c r="BD42" i="3"/>
  <c r="AP42" i="3"/>
  <c r="BI42" i="3" s="1"/>
  <c r="AE42" i="3" s="1"/>
  <c r="AO42" i="3"/>
  <c r="BH42" i="3" s="1"/>
  <c r="AD42" i="3" s="1"/>
  <c r="AK42" i="3"/>
  <c r="AJ42" i="3"/>
  <c r="AH42" i="3"/>
  <c r="AG42" i="3"/>
  <c r="AF42" i="3"/>
  <c r="AC42" i="3"/>
  <c r="AB42" i="3"/>
  <c r="Z42" i="3"/>
  <c r="J42" i="3"/>
  <c r="AL42" i="3" s="1"/>
  <c r="BJ41" i="3"/>
  <c r="BF41" i="3"/>
  <c r="BD41" i="3"/>
  <c r="AW41" i="3"/>
  <c r="AP41" i="3"/>
  <c r="AO41" i="3"/>
  <c r="BH41" i="3" s="1"/>
  <c r="AD41" i="3" s="1"/>
  <c r="AL41" i="3"/>
  <c r="AK41" i="3"/>
  <c r="AJ41" i="3"/>
  <c r="AH41" i="3"/>
  <c r="AG41" i="3"/>
  <c r="AF41" i="3"/>
  <c r="AC41" i="3"/>
  <c r="AB41" i="3"/>
  <c r="Z41" i="3"/>
  <c r="J41" i="3"/>
  <c r="H41" i="3"/>
  <c r="BJ40" i="3"/>
  <c r="BF40" i="3"/>
  <c r="BD40" i="3"/>
  <c r="AX40" i="3"/>
  <c r="AP40" i="3"/>
  <c r="BI40" i="3" s="1"/>
  <c r="AE40" i="3" s="1"/>
  <c r="AO40" i="3"/>
  <c r="BH40" i="3" s="1"/>
  <c r="AD40" i="3" s="1"/>
  <c r="AK40" i="3"/>
  <c r="AJ40" i="3"/>
  <c r="AH40" i="3"/>
  <c r="AG40" i="3"/>
  <c r="AF40" i="3"/>
  <c r="AC40" i="3"/>
  <c r="AB40" i="3"/>
  <c r="Z40" i="3"/>
  <c r="J40" i="3"/>
  <c r="AL40" i="3" s="1"/>
  <c r="H40" i="3"/>
  <c r="BJ39" i="3"/>
  <c r="BF39" i="3"/>
  <c r="BD39" i="3"/>
  <c r="AW39" i="3"/>
  <c r="AP39" i="3"/>
  <c r="BI39" i="3" s="1"/>
  <c r="AE39" i="3" s="1"/>
  <c r="AO39" i="3"/>
  <c r="BH39" i="3" s="1"/>
  <c r="AD39" i="3" s="1"/>
  <c r="AK39" i="3"/>
  <c r="AJ39" i="3"/>
  <c r="AH39" i="3"/>
  <c r="AG39" i="3"/>
  <c r="AF39" i="3"/>
  <c r="AC39" i="3"/>
  <c r="AB39" i="3"/>
  <c r="Z39" i="3"/>
  <c r="J39" i="3"/>
  <c r="AL39" i="3" s="1"/>
  <c r="BJ38" i="3"/>
  <c r="BF38" i="3"/>
  <c r="BD38" i="3"/>
  <c r="AP38" i="3"/>
  <c r="BI38" i="3" s="1"/>
  <c r="AE38" i="3" s="1"/>
  <c r="AO38" i="3"/>
  <c r="H38" i="3" s="1"/>
  <c r="AK38" i="3"/>
  <c r="AJ38" i="3"/>
  <c r="AH38" i="3"/>
  <c r="AG38" i="3"/>
  <c r="AF38" i="3"/>
  <c r="AC38" i="3"/>
  <c r="AB38" i="3"/>
  <c r="Z38" i="3"/>
  <c r="J38" i="3"/>
  <c r="AL38" i="3" s="1"/>
  <c r="BJ37" i="3"/>
  <c r="BF37" i="3"/>
  <c r="BD37" i="3"/>
  <c r="AP37" i="3"/>
  <c r="I37" i="3" s="1"/>
  <c r="AO37" i="3"/>
  <c r="BH37" i="3" s="1"/>
  <c r="AD37" i="3" s="1"/>
  <c r="AK37" i="3"/>
  <c r="AJ37" i="3"/>
  <c r="AH37" i="3"/>
  <c r="AG37" i="3"/>
  <c r="AF37" i="3"/>
  <c r="AC37" i="3"/>
  <c r="AB37" i="3"/>
  <c r="Z37" i="3"/>
  <c r="J37" i="3"/>
  <c r="AL37" i="3" s="1"/>
  <c r="BJ36" i="3"/>
  <c r="BF36" i="3"/>
  <c r="BD36" i="3"/>
  <c r="AP36" i="3"/>
  <c r="BI36" i="3" s="1"/>
  <c r="AE36" i="3" s="1"/>
  <c r="AO36" i="3"/>
  <c r="AW36" i="3" s="1"/>
  <c r="AL36" i="3"/>
  <c r="AK36" i="3"/>
  <c r="AJ36" i="3"/>
  <c r="AS35" i="3" s="1"/>
  <c r="AH36" i="3"/>
  <c r="AG36" i="3"/>
  <c r="AF36" i="3"/>
  <c r="AC36" i="3"/>
  <c r="AB36" i="3"/>
  <c r="Z36" i="3"/>
  <c r="J36" i="3"/>
  <c r="I36" i="3"/>
  <c r="BJ34" i="3"/>
  <c r="BF34" i="3"/>
  <c r="BD34" i="3"/>
  <c r="AP34" i="3"/>
  <c r="I34" i="3" s="1"/>
  <c r="AO34" i="3"/>
  <c r="BH34" i="3" s="1"/>
  <c r="AL34" i="3"/>
  <c r="AK34" i="3"/>
  <c r="AJ34" i="3"/>
  <c r="AH34" i="3"/>
  <c r="AG34" i="3"/>
  <c r="AF34" i="3"/>
  <c r="AE34" i="3"/>
  <c r="AD34" i="3"/>
  <c r="AC34" i="3"/>
  <c r="AB34" i="3"/>
  <c r="Z34" i="3"/>
  <c r="J34" i="3"/>
  <c r="H34" i="3"/>
  <c r="BJ33" i="3"/>
  <c r="BF33" i="3"/>
  <c r="BD33" i="3"/>
  <c r="AX33" i="3"/>
  <c r="AP33" i="3"/>
  <c r="BI33" i="3" s="1"/>
  <c r="AE33" i="3" s="1"/>
  <c r="AO33" i="3"/>
  <c r="AW33" i="3" s="1"/>
  <c r="AK33" i="3"/>
  <c r="AJ33" i="3"/>
  <c r="AH33" i="3"/>
  <c r="AG33" i="3"/>
  <c r="AF33" i="3"/>
  <c r="AC33" i="3"/>
  <c r="AB33" i="3"/>
  <c r="Z33" i="3"/>
  <c r="J33" i="3"/>
  <c r="AL33" i="3" s="1"/>
  <c r="I33" i="3"/>
  <c r="BJ32" i="3"/>
  <c r="BF32" i="3"/>
  <c r="BD32" i="3"/>
  <c r="AP32" i="3"/>
  <c r="AX32" i="3" s="1"/>
  <c r="AO32" i="3"/>
  <c r="AK32" i="3"/>
  <c r="AJ32" i="3"/>
  <c r="AH32" i="3"/>
  <c r="AG32" i="3"/>
  <c r="AF32" i="3"/>
  <c r="AC32" i="3"/>
  <c r="AB32" i="3"/>
  <c r="Z32" i="3"/>
  <c r="J32" i="3"/>
  <c r="AL32" i="3" s="1"/>
  <c r="BJ31" i="3"/>
  <c r="BF31" i="3"/>
  <c r="BD31" i="3"/>
  <c r="AP31" i="3"/>
  <c r="AO31" i="3"/>
  <c r="BH31" i="3" s="1"/>
  <c r="AD31" i="3" s="1"/>
  <c r="AK31" i="3"/>
  <c r="AJ31" i="3"/>
  <c r="AH31" i="3"/>
  <c r="AG31" i="3"/>
  <c r="AF31" i="3"/>
  <c r="AC31" i="3"/>
  <c r="AB31" i="3"/>
  <c r="Z31" i="3"/>
  <c r="J31" i="3"/>
  <c r="AL31" i="3" s="1"/>
  <c r="BJ29" i="3"/>
  <c r="BF29" i="3"/>
  <c r="BD29" i="3"/>
  <c r="AW29" i="3"/>
  <c r="AP29" i="3"/>
  <c r="BI29" i="3" s="1"/>
  <c r="AE29" i="3" s="1"/>
  <c r="AO29" i="3"/>
  <c r="BH29" i="3" s="1"/>
  <c r="AD29" i="3" s="1"/>
  <c r="AK29" i="3"/>
  <c r="AJ29" i="3"/>
  <c r="AH29" i="3"/>
  <c r="AG29" i="3"/>
  <c r="AF29" i="3"/>
  <c r="AC29" i="3"/>
  <c r="AB29" i="3"/>
  <c r="Z29" i="3"/>
  <c r="J29" i="3"/>
  <c r="AL29" i="3" s="1"/>
  <c r="BJ28" i="3"/>
  <c r="BF28" i="3"/>
  <c r="BD28" i="3"/>
  <c r="AW28" i="3"/>
  <c r="AP28" i="3"/>
  <c r="BI28" i="3" s="1"/>
  <c r="AE28" i="3" s="1"/>
  <c r="AO28" i="3"/>
  <c r="BH28" i="3" s="1"/>
  <c r="AD28" i="3" s="1"/>
  <c r="AK28" i="3"/>
  <c r="AJ28" i="3"/>
  <c r="AH28" i="3"/>
  <c r="AG28" i="3"/>
  <c r="AF28" i="3"/>
  <c r="AC28" i="3"/>
  <c r="AB28" i="3"/>
  <c r="Z28" i="3"/>
  <c r="J28" i="3"/>
  <c r="AL28" i="3" s="1"/>
  <c r="H28" i="3"/>
  <c r="BJ27" i="3"/>
  <c r="BF27" i="3"/>
  <c r="BD27" i="3"/>
  <c r="AX27" i="3"/>
  <c r="AP27" i="3"/>
  <c r="BI27" i="3" s="1"/>
  <c r="AE27" i="3" s="1"/>
  <c r="AO27" i="3"/>
  <c r="BH27" i="3" s="1"/>
  <c r="AD27" i="3" s="1"/>
  <c r="AK27" i="3"/>
  <c r="AJ27" i="3"/>
  <c r="AH27" i="3"/>
  <c r="AG27" i="3"/>
  <c r="AF27" i="3"/>
  <c r="AC27" i="3"/>
  <c r="AB27" i="3"/>
  <c r="Z27" i="3"/>
  <c r="J27" i="3"/>
  <c r="AL27" i="3" s="1"/>
  <c r="BJ25" i="3"/>
  <c r="BF25" i="3"/>
  <c r="BD25" i="3"/>
  <c r="AP25" i="3"/>
  <c r="BI25" i="3" s="1"/>
  <c r="AE25" i="3" s="1"/>
  <c r="AO25" i="3"/>
  <c r="H25" i="3" s="1"/>
  <c r="AK25" i="3"/>
  <c r="AJ25" i="3"/>
  <c r="AH25" i="3"/>
  <c r="AG25" i="3"/>
  <c r="AF25" i="3"/>
  <c r="AC25" i="3"/>
  <c r="AB25" i="3"/>
  <c r="Z25" i="3"/>
  <c r="J25" i="3"/>
  <c r="AL25" i="3" s="1"/>
  <c r="BJ24" i="3"/>
  <c r="BF24" i="3"/>
  <c r="BD24" i="3"/>
  <c r="AP24" i="3"/>
  <c r="BI24" i="3" s="1"/>
  <c r="AE24" i="3" s="1"/>
  <c r="AO24" i="3"/>
  <c r="BH24" i="3" s="1"/>
  <c r="AD24" i="3" s="1"/>
  <c r="AL24" i="3"/>
  <c r="AK24" i="3"/>
  <c r="AJ24" i="3"/>
  <c r="AH24" i="3"/>
  <c r="AG24" i="3"/>
  <c r="AF24" i="3"/>
  <c r="AC24" i="3"/>
  <c r="AB24" i="3"/>
  <c r="Z24" i="3"/>
  <c r="J24" i="3"/>
  <c r="H24" i="3"/>
  <c r="BJ23" i="3"/>
  <c r="BH23" i="3"/>
  <c r="BF23" i="3"/>
  <c r="BD23" i="3"/>
  <c r="AX23" i="3"/>
  <c r="AV23" i="3"/>
  <c r="AP23" i="3"/>
  <c r="BI23" i="3" s="1"/>
  <c r="AE23" i="3" s="1"/>
  <c r="AO23" i="3"/>
  <c r="AW23" i="3" s="1"/>
  <c r="BC23" i="3" s="1"/>
  <c r="AK23" i="3"/>
  <c r="AJ23" i="3"/>
  <c r="AH23" i="3"/>
  <c r="AG23" i="3"/>
  <c r="AF23" i="3"/>
  <c r="AD23" i="3"/>
  <c r="AC23" i="3"/>
  <c r="AB23" i="3"/>
  <c r="Z23" i="3"/>
  <c r="J23" i="3"/>
  <c r="AL23" i="3" s="1"/>
  <c r="I23" i="3"/>
  <c r="H23" i="3"/>
  <c r="BJ22" i="3"/>
  <c r="BI22" i="3"/>
  <c r="AE22" i="3" s="1"/>
  <c r="BF22" i="3"/>
  <c r="BD22" i="3"/>
  <c r="AP22" i="3"/>
  <c r="AX22" i="3" s="1"/>
  <c r="AO22" i="3"/>
  <c r="H22" i="3" s="1"/>
  <c r="AK22" i="3"/>
  <c r="AJ22" i="3"/>
  <c r="AH22" i="3"/>
  <c r="AG22" i="3"/>
  <c r="AF22" i="3"/>
  <c r="AC22" i="3"/>
  <c r="AB22" i="3"/>
  <c r="Z22" i="3"/>
  <c r="J22" i="3"/>
  <c r="AL22" i="3" s="1"/>
  <c r="I22" i="3"/>
  <c r="BJ21" i="3"/>
  <c r="BF21" i="3"/>
  <c r="BD21" i="3"/>
  <c r="AP21" i="3"/>
  <c r="I21" i="3" s="1"/>
  <c r="AO21" i="3"/>
  <c r="AW21" i="3" s="1"/>
  <c r="AK21" i="3"/>
  <c r="AJ21" i="3"/>
  <c r="AH21" i="3"/>
  <c r="AG21" i="3"/>
  <c r="AF21" i="3"/>
  <c r="AC21" i="3"/>
  <c r="AB21" i="3"/>
  <c r="Z21" i="3"/>
  <c r="J21" i="3"/>
  <c r="AL21" i="3" s="1"/>
  <c r="BJ20" i="3"/>
  <c r="BF20" i="3"/>
  <c r="BD20" i="3"/>
  <c r="AW20" i="3"/>
  <c r="AP20" i="3"/>
  <c r="AX20" i="3" s="1"/>
  <c r="AO20" i="3"/>
  <c r="BH20" i="3" s="1"/>
  <c r="AD20" i="3" s="1"/>
  <c r="AL20" i="3"/>
  <c r="AK20" i="3"/>
  <c r="AJ20" i="3"/>
  <c r="AH20" i="3"/>
  <c r="AG20" i="3"/>
  <c r="AF20" i="3"/>
  <c r="AC20" i="3"/>
  <c r="AB20" i="3"/>
  <c r="Z20" i="3"/>
  <c r="J20" i="3"/>
  <c r="I20" i="3"/>
  <c r="H20" i="3"/>
  <c r="BJ19" i="3"/>
  <c r="BF19" i="3"/>
  <c r="BD19" i="3"/>
  <c r="AW19" i="3"/>
  <c r="AP19" i="3"/>
  <c r="BI19" i="3" s="1"/>
  <c r="AE19" i="3" s="1"/>
  <c r="AO19" i="3"/>
  <c r="BH19" i="3" s="1"/>
  <c r="AD19" i="3" s="1"/>
  <c r="AK19" i="3"/>
  <c r="AJ19" i="3"/>
  <c r="AH19" i="3"/>
  <c r="AG19" i="3"/>
  <c r="AF19" i="3"/>
  <c r="AC19" i="3"/>
  <c r="AB19" i="3"/>
  <c r="Z19" i="3"/>
  <c r="J19" i="3"/>
  <c r="AL19" i="3" s="1"/>
  <c r="I19" i="3"/>
  <c r="H19" i="3"/>
  <c r="BJ18" i="3"/>
  <c r="BF18" i="3"/>
  <c r="BD18" i="3"/>
  <c r="AW18" i="3"/>
  <c r="AP18" i="3"/>
  <c r="BI18" i="3" s="1"/>
  <c r="AE18" i="3" s="1"/>
  <c r="AO18" i="3"/>
  <c r="BH18" i="3" s="1"/>
  <c r="AD18" i="3" s="1"/>
  <c r="AK18" i="3"/>
  <c r="AJ18" i="3"/>
  <c r="AH18" i="3"/>
  <c r="AG18" i="3"/>
  <c r="AF18" i="3"/>
  <c r="AC18" i="3"/>
  <c r="AB18" i="3"/>
  <c r="Z18" i="3"/>
  <c r="J18" i="3"/>
  <c r="AL18" i="3" s="1"/>
  <c r="H18" i="3"/>
  <c r="BJ16" i="3"/>
  <c r="BF16" i="3"/>
  <c r="BD16" i="3"/>
  <c r="AX16" i="3"/>
  <c r="AP16" i="3"/>
  <c r="BI16" i="3" s="1"/>
  <c r="AE16" i="3" s="1"/>
  <c r="AO16" i="3"/>
  <c r="BH16" i="3" s="1"/>
  <c r="AD16" i="3" s="1"/>
  <c r="AK16" i="3"/>
  <c r="AJ16" i="3"/>
  <c r="AH16" i="3"/>
  <c r="AG16" i="3"/>
  <c r="AF16" i="3"/>
  <c r="AC16" i="3"/>
  <c r="AB16" i="3"/>
  <c r="Z16" i="3"/>
  <c r="J16" i="3"/>
  <c r="AL16" i="3" s="1"/>
  <c r="BJ14" i="3"/>
  <c r="BF14" i="3"/>
  <c r="BD14" i="3"/>
  <c r="AP14" i="3"/>
  <c r="BI14" i="3" s="1"/>
  <c r="AE14" i="3" s="1"/>
  <c r="AO14" i="3"/>
  <c r="H14" i="3" s="1"/>
  <c r="AK14" i="3"/>
  <c r="AJ14" i="3"/>
  <c r="AH14" i="3"/>
  <c r="AG14" i="3"/>
  <c r="AF14" i="3"/>
  <c r="AC14" i="3"/>
  <c r="AB14" i="3"/>
  <c r="Z14" i="3"/>
  <c r="J14" i="3"/>
  <c r="AL14" i="3" s="1"/>
  <c r="BJ13" i="3"/>
  <c r="BF13" i="3"/>
  <c r="BD13" i="3"/>
  <c r="AP13" i="3"/>
  <c r="I13" i="3" s="1"/>
  <c r="AO13" i="3"/>
  <c r="AW13" i="3" s="1"/>
  <c r="AK13" i="3"/>
  <c r="AJ13" i="3"/>
  <c r="C27" i="1" s="1"/>
  <c r="AH13" i="3"/>
  <c r="AG13" i="3"/>
  <c r="AF13" i="3"/>
  <c r="C18" i="1" s="1"/>
  <c r="AC13" i="3"/>
  <c r="AB13" i="3"/>
  <c r="Z13" i="3"/>
  <c r="J13" i="3"/>
  <c r="AL13" i="3" s="1"/>
  <c r="AU1" i="3"/>
  <c r="AT1" i="3"/>
  <c r="AS1" i="3"/>
  <c r="I35" i="2"/>
  <c r="I36" i="2" s="1"/>
  <c r="I24" i="1" s="1"/>
  <c r="I27" i="2"/>
  <c r="I26" i="2"/>
  <c r="I25" i="2"/>
  <c r="I24" i="2"/>
  <c r="I23" i="2"/>
  <c r="I22" i="2"/>
  <c r="I21" i="2"/>
  <c r="I17" i="2"/>
  <c r="F16" i="1" s="1"/>
  <c r="I16" i="2"/>
  <c r="I15" i="2"/>
  <c r="I10" i="2"/>
  <c r="F10" i="2"/>
  <c r="C10" i="2"/>
  <c r="F8" i="2"/>
  <c r="C8" i="2"/>
  <c r="F6" i="2"/>
  <c r="C6" i="2"/>
  <c r="F4" i="2"/>
  <c r="C4" i="2"/>
  <c r="F2" i="2"/>
  <c r="C2" i="2"/>
  <c r="I19" i="1"/>
  <c r="I18" i="1"/>
  <c r="I17" i="1"/>
  <c r="I16" i="1"/>
  <c r="I15" i="1"/>
  <c r="F15" i="1"/>
  <c r="I14" i="1"/>
  <c r="I22" i="1" s="1"/>
  <c r="F14" i="1"/>
  <c r="I10" i="1"/>
  <c r="F10" i="1"/>
  <c r="C10" i="1"/>
  <c r="F8" i="1"/>
  <c r="C8" i="1"/>
  <c r="F6" i="1"/>
  <c r="C6" i="1"/>
  <c r="F4" i="1"/>
  <c r="C4" i="1"/>
  <c r="F2" i="1"/>
  <c r="C2" i="1"/>
  <c r="H13" i="3" l="1"/>
  <c r="C21" i="1"/>
  <c r="AV21" i="3"/>
  <c r="C20" i="1"/>
  <c r="BH21" i="3"/>
  <c r="AD21" i="3" s="1"/>
  <c r="AW37" i="3"/>
  <c r="AX39" i="3"/>
  <c r="BC39" i="3" s="1"/>
  <c r="BC48" i="3"/>
  <c r="AW61" i="3"/>
  <c r="AW64" i="3"/>
  <c r="AX65" i="3"/>
  <c r="BC65" i="3" s="1"/>
  <c r="AW67" i="3"/>
  <c r="H69" i="3"/>
  <c r="AX76" i="3"/>
  <c r="H77" i="3"/>
  <c r="AW77" i="3"/>
  <c r="H78" i="3"/>
  <c r="AW83" i="3"/>
  <c r="AX84" i="3"/>
  <c r="BC84" i="3" s="1"/>
  <c r="BH86" i="3"/>
  <c r="AD86" i="3" s="1"/>
  <c r="H97" i="3"/>
  <c r="AW98" i="3"/>
  <c r="AX102" i="3"/>
  <c r="BC102" i="3" s="1"/>
  <c r="AW104" i="3"/>
  <c r="H105" i="3"/>
  <c r="AW116" i="3"/>
  <c r="AT114" i="3"/>
  <c r="AX117" i="3"/>
  <c r="BI119" i="3"/>
  <c r="AC119" i="3" s="1"/>
  <c r="AU12" i="3"/>
  <c r="AX14" i="3"/>
  <c r="I16" i="3"/>
  <c r="AW16" i="3"/>
  <c r="BC16" i="3" s="1"/>
  <c r="AX18" i="3"/>
  <c r="AV18" i="3" s="1"/>
  <c r="AX19" i="3"/>
  <c r="BC19" i="3" s="1"/>
  <c r="AX21" i="3"/>
  <c r="BI21" i="3"/>
  <c r="AE21" i="3" s="1"/>
  <c r="AW24" i="3"/>
  <c r="AV24" i="3" s="1"/>
  <c r="AX25" i="3"/>
  <c r="I27" i="3"/>
  <c r="AW27" i="3"/>
  <c r="AX28" i="3"/>
  <c r="BC28" i="3" s="1"/>
  <c r="H29" i="3"/>
  <c r="AW34" i="3"/>
  <c r="I40" i="3"/>
  <c r="AW40" i="3"/>
  <c r="BC40" i="3" s="1"/>
  <c r="AX44" i="3"/>
  <c r="H45" i="3"/>
  <c r="AX46" i="3"/>
  <c r="I47" i="3"/>
  <c r="AW47" i="3"/>
  <c r="AX48" i="3"/>
  <c r="H49" i="3"/>
  <c r="AX52" i="3"/>
  <c r="AV52" i="3" s="1"/>
  <c r="H53" i="3"/>
  <c r="AX54" i="3"/>
  <c r="I55" i="3"/>
  <c r="AW55" i="3"/>
  <c r="AX56" i="3"/>
  <c r="BC56" i="3" s="1"/>
  <c r="H57" i="3"/>
  <c r="AX64" i="3"/>
  <c r="BC64" i="3" s="1"/>
  <c r="AX67" i="3"/>
  <c r="H68" i="3"/>
  <c r="AW69" i="3"/>
  <c r="BI69" i="3"/>
  <c r="AE69" i="3" s="1"/>
  <c r="I75" i="3"/>
  <c r="AW75" i="3"/>
  <c r="AV75" i="3" s="1"/>
  <c r="H80" i="3"/>
  <c r="AX83" i="3"/>
  <c r="BI86" i="3"/>
  <c r="AE86" i="3" s="1"/>
  <c r="BH88" i="3"/>
  <c r="AD88" i="3" s="1"/>
  <c r="AX90" i="3"/>
  <c r="I91" i="3"/>
  <c r="AW91" i="3"/>
  <c r="BC91" i="3" s="1"/>
  <c r="AW94" i="3"/>
  <c r="BC94" i="3" s="1"/>
  <c r="AW95" i="3"/>
  <c r="AV95" i="3" s="1"/>
  <c r="AX101" i="3"/>
  <c r="I103" i="3"/>
  <c r="AW103" i="3"/>
  <c r="AV103" i="3" s="1"/>
  <c r="AX109" i="3"/>
  <c r="H111" i="3"/>
  <c r="AS110" i="3"/>
  <c r="AX112" i="3"/>
  <c r="AX116" i="3"/>
  <c r="I118" i="3"/>
  <c r="AW118" i="3"/>
  <c r="AX119" i="3"/>
  <c r="BI20" i="3"/>
  <c r="AE20" i="3" s="1"/>
  <c r="BC21" i="3"/>
  <c r="BH70" i="3"/>
  <c r="AD70" i="3" s="1"/>
  <c r="BH78" i="3"/>
  <c r="AD78" i="3" s="1"/>
  <c r="AU110" i="3"/>
  <c r="C28" i="1"/>
  <c r="F28" i="1" s="1"/>
  <c r="I18" i="3"/>
  <c r="BC20" i="3"/>
  <c r="I28" i="3"/>
  <c r="AX36" i="3"/>
  <c r="AV36" i="3" s="1"/>
  <c r="H37" i="3"/>
  <c r="AX38" i="3"/>
  <c r="I39" i="3"/>
  <c r="I48" i="3"/>
  <c r="AV48" i="3"/>
  <c r="I56" i="3"/>
  <c r="AX60" i="3"/>
  <c r="H61" i="3"/>
  <c r="BH62" i="3"/>
  <c r="AD62" i="3" s="1"/>
  <c r="AW68" i="3"/>
  <c r="H70" i="3"/>
  <c r="BH71" i="3"/>
  <c r="AD71" i="3" s="1"/>
  <c r="AX74" i="3"/>
  <c r="I76" i="3"/>
  <c r="BC76" i="3"/>
  <c r="BI79" i="3"/>
  <c r="AE79" i="3" s="1"/>
  <c r="I84" i="3"/>
  <c r="AX92" i="3"/>
  <c r="AV92" i="3" s="1"/>
  <c r="H95" i="3"/>
  <c r="I96" i="3"/>
  <c r="AV96" i="3"/>
  <c r="BH98" i="3"/>
  <c r="AD98" i="3" s="1"/>
  <c r="BC113" i="3"/>
  <c r="I115" i="3"/>
  <c r="AX115" i="3"/>
  <c r="H116" i="3"/>
  <c r="AW120" i="3"/>
  <c r="AV120" i="3" s="1"/>
  <c r="H121" i="3"/>
  <c r="F22" i="1"/>
  <c r="AX13" i="3"/>
  <c r="AV13" i="3" s="1"/>
  <c r="I14" i="3"/>
  <c r="AW14" i="3"/>
  <c r="H16" i="3"/>
  <c r="AV16" i="3"/>
  <c r="AV20" i="3"/>
  <c r="BH22" i="3"/>
  <c r="AD22" i="3" s="1"/>
  <c r="BC27" i="3"/>
  <c r="AV27" i="3"/>
  <c r="AX31" i="3"/>
  <c r="I31" i="3"/>
  <c r="AU35" i="3"/>
  <c r="AX49" i="3"/>
  <c r="AV49" i="3" s="1"/>
  <c r="I49" i="3"/>
  <c r="AW58" i="3"/>
  <c r="H58" i="3"/>
  <c r="I70" i="3"/>
  <c r="BI70" i="3"/>
  <c r="AE70" i="3" s="1"/>
  <c r="AX70" i="3"/>
  <c r="AV70" i="3" s="1"/>
  <c r="H87" i="3"/>
  <c r="BH87" i="3"/>
  <c r="AD87" i="3" s="1"/>
  <c r="AW87" i="3"/>
  <c r="AW90" i="3"/>
  <c r="H90" i="3"/>
  <c r="BH90" i="3"/>
  <c r="AD90" i="3" s="1"/>
  <c r="AV116" i="3"/>
  <c r="AW32" i="3"/>
  <c r="H32" i="3"/>
  <c r="BC36" i="3"/>
  <c r="BC55" i="3"/>
  <c r="AV55" i="3"/>
  <c r="AX58" i="3"/>
  <c r="I58" i="3"/>
  <c r="AW72" i="3"/>
  <c r="BH72" i="3"/>
  <c r="AD72" i="3" s="1"/>
  <c r="H72" i="3"/>
  <c r="AV81" i="3"/>
  <c r="I97" i="3"/>
  <c r="I93" i="3" s="1"/>
  <c r="BI97" i="3"/>
  <c r="AE97" i="3" s="1"/>
  <c r="AX97" i="3"/>
  <c r="I18" i="2"/>
  <c r="F29" i="2" s="1"/>
  <c r="J12" i="3"/>
  <c r="AV33" i="3"/>
  <c r="BC33" i="3"/>
  <c r="AX41" i="3"/>
  <c r="AV41" i="3" s="1"/>
  <c r="I41" i="3"/>
  <c r="BC49" i="3"/>
  <c r="AW50" i="3"/>
  <c r="H50" i="3"/>
  <c r="AW59" i="3"/>
  <c r="H59" i="3"/>
  <c r="AX81" i="3"/>
  <c r="BC81" i="3" s="1"/>
  <c r="I81" i="3"/>
  <c r="BI81" i="3"/>
  <c r="AE81" i="3" s="1"/>
  <c r="AX89" i="3"/>
  <c r="BC89" i="3" s="1"/>
  <c r="I89" i="3"/>
  <c r="BI89" i="3"/>
  <c r="AE89" i="3" s="1"/>
  <c r="H106" i="3"/>
  <c r="BH106" i="3"/>
  <c r="AD106" i="3" s="1"/>
  <c r="AW106" i="3"/>
  <c r="AS12" i="3"/>
  <c r="BC47" i="3"/>
  <c r="AV47" i="3"/>
  <c r="AX50" i="3"/>
  <c r="I50" i="3"/>
  <c r="AV60" i="3"/>
  <c r="BC60" i="3"/>
  <c r="BC99" i="3"/>
  <c r="AV99" i="3"/>
  <c r="AT12" i="3"/>
  <c r="BH13" i="3"/>
  <c r="AD13" i="3" s="1"/>
  <c r="AW22" i="3"/>
  <c r="BI31" i="3"/>
  <c r="AE31" i="3" s="1"/>
  <c r="J35" i="3"/>
  <c r="BC41" i="3"/>
  <c r="AW42" i="3"/>
  <c r="H42" i="3"/>
  <c r="AW51" i="3"/>
  <c r="H51" i="3"/>
  <c r="AS66" i="3"/>
  <c r="BI13" i="3"/>
  <c r="AE13" i="3" s="1"/>
  <c r="BH14" i="3"/>
  <c r="AD14" i="3" s="1"/>
  <c r="I24" i="3"/>
  <c r="AX24" i="3"/>
  <c r="AX29" i="3"/>
  <c r="AV29" i="3" s="1"/>
  <c r="I29" i="3"/>
  <c r="BH32" i="3"/>
  <c r="AD32" i="3" s="1"/>
  <c r="AV39" i="3"/>
  <c r="AX42" i="3"/>
  <c r="I42" i="3"/>
  <c r="BC52" i="3"/>
  <c r="BI58" i="3"/>
  <c r="AE58" i="3" s="1"/>
  <c r="J66" i="3"/>
  <c r="AL67" i="3"/>
  <c r="AU66" i="3" s="1"/>
  <c r="AW115" i="3"/>
  <c r="H115" i="3"/>
  <c r="BH115" i="3"/>
  <c r="AB115" i="3" s="1"/>
  <c r="AW43" i="3"/>
  <c r="H43" i="3"/>
  <c r="BH50" i="3"/>
  <c r="AD50" i="3" s="1"/>
  <c r="AX57" i="3"/>
  <c r="AV57" i="3" s="1"/>
  <c r="I57" i="3"/>
  <c r="BH59" i="3"/>
  <c r="AD59" i="3" s="1"/>
  <c r="AX77" i="3"/>
  <c r="AV77" i="3" s="1"/>
  <c r="BI77" i="3"/>
  <c r="AE77" i="3" s="1"/>
  <c r="I77" i="3"/>
  <c r="H21" i="3"/>
  <c r="BC29" i="3"/>
  <c r="AW31" i="3"/>
  <c r="H31" i="3"/>
  <c r="AV34" i="3"/>
  <c r="AT35" i="3"/>
  <c r="BI41" i="3"/>
  <c r="AE41" i="3" s="1"/>
  <c r="AV44" i="3"/>
  <c r="BC44" i="3"/>
  <c r="BI50" i="3"/>
  <c r="AE50" i="3" s="1"/>
  <c r="AV65" i="3"/>
  <c r="AW82" i="3"/>
  <c r="H82" i="3"/>
  <c r="BH82" i="3"/>
  <c r="AD82" i="3" s="1"/>
  <c r="AV85" i="3"/>
  <c r="BC120" i="3"/>
  <c r="I25" i="3"/>
  <c r="AW25" i="3"/>
  <c r="H27" i="3"/>
  <c r="AX34" i="3"/>
  <c r="BC34" i="3" s="1"/>
  <c r="AX37" i="3"/>
  <c r="BC37" i="3" s="1"/>
  <c r="I38" i="3"/>
  <c r="AW38" i="3"/>
  <c r="H39" i="3"/>
  <c r="AX45" i="3"/>
  <c r="BC45" i="3" s="1"/>
  <c r="I46" i="3"/>
  <c r="AW46" i="3"/>
  <c r="H47" i="3"/>
  <c r="AX53" i="3"/>
  <c r="BC53" i="3" s="1"/>
  <c r="I54" i="3"/>
  <c r="AW54" i="3"/>
  <c r="H55" i="3"/>
  <c r="AX61" i="3"/>
  <c r="BC61" i="3" s="1"/>
  <c r="I69" i="3"/>
  <c r="BC70" i="3"/>
  <c r="AW71" i="3"/>
  <c r="AX78" i="3"/>
  <c r="AV78" i="3" s="1"/>
  <c r="BH79" i="3"/>
  <c r="AD79" i="3" s="1"/>
  <c r="BI87" i="3"/>
  <c r="AE87" i="3" s="1"/>
  <c r="AT93" i="3"/>
  <c r="AV102" i="3"/>
  <c r="AS114" i="3"/>
  <c r="BI32" i="3"/>
  <c r="AE32" i="3" s="1"/>
  <c r="BH33" i="3"/>
  <c r="AD33" i="3" s="1"/>
  <c r="BH36" i="3"/>
  <c r="AD36" i="3" s="1"/>
  <c r="BI43" i="3"/>
  <c r="AE43" i="3" s="1"/>
  <c r="BH44" i="3"/>
  <c r="AD44" i="3" s="1"/>
  <c r="BI51" i="3"/>
  <c r="AE51" i="3" s="1"/>
  <c r="BH52" i="3"/>
  <c r="AD52" i="3" s="1"/>
  <c r="BI59" i="3"/>
  <c r="AE59" i="3" s="1"/>
  <c r="BH60" i="3"/>
  <c r="AD60" i="3" s="1"/>
  <c r="AW101" i="3"/>
  <c r="H101" i="3"/>
  <c r="AV64" i="3"/>
  <c r="BI71" i="3"/>
  <c r="AE71" i="3" s="1"/>
  <c r="BI78" i="3"/>
  <c r="AE78" i="3" s="1"/>
  <c r="BH80" i="3"/>
  <c r="AD80" i="3" s="1"/>
  <c r="AV84" i="3"/>
  <c r="J93" i="3"/>
  <c r="BC95" i="3"/>
  <c r="BI96" i="3"/>
  <c r="AE96" i="3" s="1"/>
  <c r="AX100" i="3"/>
  <c r="BC100" i="3" s="1"/>
  <c r="I100" i="3"/>
  <c r="BI105" i="3"/>
  <c r="AE105" i="3" s="1"/>
  <c r="BC107" i="3"/>
  <c r="AW112" i="3"/>
  <c r="H112" i="3"/>
  <c r="J114" i="3"/>
  <c r="AV117" i="3"/>
  <c r="BC117" i="3"/>
  <c r="AW123" i="3"/>
  <c r="H123" i="3"/>
  <c r="BH25" i="3"/>
  <c r="AD25" i="3" s="1"/>
  <c r="I32" i="3"/>
  <c r="H33" i="3"/>
  <c r="BI34" i="3"/>
  <c r="H36" i="3"/>
  <c r="BI37" i="3"/>
  <c r="AE37" i="3" s="1"/>
  <c r="BH38" i="3"/>
  <c r="AD38" i="3" s="1"/>
  <c r="I43" i="3"/>
  <c r="H44" i="3"/>
  <c r="BI45" i="3"/>
  <c r="AE45" i="3" s="1"/>
  <c r="BH46" i="3"/>
  <c r="AD46" i="3" s="1"/>
  <c r="I51" i="3"/>
  <c r="H52" i="3"/>
  <c r="BI53" i="3"/>
  <c r="AE53" i="3" s="1"/>
  <c r="BH54" i="3"/>
  <c r="AD54" i="3" s="1"/>
  <c r="I59" i="3"/>
  <c r="H60" i="3"/>
  <c r="BI61" i="3"/>
  <c r="AE61" i="3" s="1"/>
  <c r="AX62" i="3"/>
  <c r="I62" i="3"/>
  <c r="AX73" i="3"/>
  <c r="BC73" i="3" s="1"/>
  <c r="I73" i="3"/>
  <c r="AW74" i="3"/>
  <c r="H74" i="3"/>
  <c r="BC75" i="3"/>
  <c r="BC78" i="3"/>
  <c r="AW79" i="3"/>
  <c r="I87" i="3"/>
  <c r="AU93" i="3"/>
  <c r="AX111" i="3"/>
  <c r="BC111" i="3" s="1"/>
  <c r="I111" i="3"/>
  <c r="I110" i="3" s="1"/>
  <c r="BH120" i="3"/>
  <c r="AB120" i="3" s="1"/>
  <c r="AV121" i="3"/>
  <c r="AX122" i="3"/>
  <c r="BC122" i="3" s="1"/>
  <c r="I122" i="3"/>
  <c r="AV67" i="3"/>
  <c r="AT66" i="3"/>
  <c r="AV76" i="3"/>
  <c r="BI85" i="3"/>
  <c r="AG85" i="3" s="1"/>
  <c r="C19" i="1" s="1"/>
  <c r="BC88" i="3"/>
  <c r="AV91" i="3"/>
  <c r="AV107" i="3"/>
  <c r="AX108" i="3"/>
  <c r="BC108" i="3" s="1"/>
  <c r="I108" i="3"/>
  <c r="AW109" i="3"/>
  <c r="H109" i="3"/>
  <c r="J110" i="3"/>
  <c r="AL116" i="3"/>
  <c r="AU114" i="3" s="1"/>
  <c r="AW63" i="3"/>
  <c r="H63" i="3"/>
  <c r="AX86" i="3"/>
  <c r="AV86" i="3" s="1"/>
  <c r="AX98" i="3"/>
  <c r="BC98" i="3" s="1"/>
  <c r="BI98" i="3"/>
  <c r="AE98" i="3" s="1"/>
  <c r="BI100" i="3"/>
  <c r="AE100" i="3" s="1"/>
  <c r="BH99" i="3"/>
  <c r="AD99" i="3" s="1"/>
  <c r="BI106" i="3"/>
  <c r="AE106" i="3" s="1"/>
  <c r="BH107" i="3"/>
  <c r="AD107" i="3" s="1"/>
  <c r="BI120" i="3"/>
  <c r="AC120" i="3" s="1"/>
  <c r="BH121" i="3"/>
  <c r="AB121" i="3" s="1"/>
  <c r="BI72" i="3"/>
  <c r="AE72" i="3" s="1"/>
  <c r="BH73" i="3"/>
  <c r="AD73" i="3" s="1"/>
  <c r="BI80" i="3"/>
  <c r="AE80" i="3" s="1"/>
  <c r="BH81" i="3"/>
  <c r="AD81" i="3" s="1"/>
  <c r="BI88" i="3"/>
  <c r="AE88" i="3" s="1"/>
  <c r="BH89" i="3"/>
  <c r="AD89" i="3" s="1"/>
  <c r="AW97" i="3"/>
  <c r="BI99" i="3"/>
  <c r="AE99" i="3" s="1"/>
  <c r="BH100" i="3"/>
  <c r="AD100" i="3" s="1"/>
  <c r="AX104" i="3"/>
  <c r="AW105" i="3"/>
  <c r="BI107" i="3"/>
  <c r="AE107" i="3" s="1"/>
  <c r="BH108" i="3"/>
  <c r="AD108" i="3" s="1"/>
  <c r="BH111" i="3"/>
  <c r="AD111" i="3" s="1"/>
  <c r="AX118" i="3"/>
  <c r="AW119" i="3"/>
  <c r="BI121" i="3"/>
  <c r="AC121" i="3" s="1"/>
  <c r="BH122" i="3"/>
  <c r="AB122" i="3" s="1"/>
  <c r="BI63" i="3"/>
  <c r="AE63" i="3" s="1"/>
  <c r="BH64" i="3"/>
  <c r="AD64" i="3" s="1"/>
  <c r="BH67" i="3"/>
  <c r="AD67" i="3" s="1"/>
  <c r="I72" i="3"/>
  <c r="H73" i="3"/>
  <c r="BI74" i="3"/>
  <c r="AE74" i="3" s="1"/>
  <c r="I80" i="3"/>
  <c r="H81" i="3"/>
  <c r="BI82" i="3"/>
  <c r="AE82" i="3" s="1"/>
  <c r="BH83" i="3"/>
  <c r="AD83" i="3" s="1"/>
  <c r="I88" i="3"/>
  <c r="H89" i="3"/>
  <c r="BI90" i="3"/>
  <c r="AE90" i="3" s="1"/>
  <c r="BH91" i="3"/>
  <c r="AD91" i="3" s="1"/>
  <c r="BH94" i="3"/>
  <c r="AD94" i="3" s="1"/>
  <c r="BI101" i="3"/>
  <c r="AE101" i="3" s="1"/>
  <c r="BH102" i="3"/>
  <c r="AD102" i="3" s="1"/>
  <c r="I107" i="3"/>
  <c r="H108" i="3"/>
  <c r="BI109" i="3"/>
  <c r="BI112" i="3"/>
  <c r="AE112" i="3" s="1"/>
  <c r="BH113" i="3"/>
  <c r="AD113" i="3" s="1"/>
  <c r="I121" i="3"/>
  <c r="I114" i="3" s="1"/>
  <c r="H122" i="3"/>
  <c r="BC13" i="3" l="1"/>
  <c r="I66" i="3"/>
  <c r="BC77" i="3"/>
  <c r="H12" i="3"/>
  <c r="BC103" i="3"/>
  <c r="AV94" i="3"/>
  <c r="AV19" i="3"/>
  <c r="BC18" i="3"/>
  <c r="C15" i="1"/>
  <c r="H110" i="3"/>
  <c r="AV73" i="3"/>
  <c r="AV89" i="3"/>
  <c r="AV40" i="3"/>
  <c r="BC24" i="3"/>
  <c r="BC68" i="3"/>
  <c r="AV68" i="3"/>
  <c r="AV56" i="3"/>
  <c r="AV28" i="3"/>
  <c r="BC92" i="3"/>
  <c r="BC116" i="3"/>
  <c r="BC69" i="3"/>
  <c r="AV69" i="3"/>
  <c r="BC67" i="3"/>
  <c r="H93" i="3"/>
  <c r="C14" i="1"/>
  <c r="I35" i="3"/>
  <c r="I12" i="3"/>
  <c r="AV83" i="3"/>
  <c r="BC83" i="3"/>
  <c r="BC50" i="3"/>
  <c r="AV50" i="3"/>
  <c r="BC72" i="3"/>
  <c r="AV72" i="3"/>
  <c r="AV63" i="3"/>
  <c r="BC63" i="3"/>
  <c r="BC79" i="3"/>
  <c r="AV79" i="3"/>
  <c r="BC62" i="3"/>
  <c r="AV62" i="3"/>
  <c r="AV100" i="3"/>
  <c r="AV25" i="3"/>
  <c r="BC25" i="3"/>
  <c r="AV61" i="3"/>
  <c r="AV22" i="3"/>
  <c r="BC22" i="3"/>
  <c r="J124" i="3"/>
  <c r="AV53" i="3"/>
  <c r="BC31" i="3"/>
  <c r="AV31" i="3"/>
  <c r="H114" i="3"/>
  <c r="AV104" i="3"/>
  <c r="BC104" i="3"/>
  <c r="AV112" i="3"/>
  <c r="BC112" i="3"/>
  <c r="AV54" i="3"/>
  <c r="BC54" i="3"/>
  <c r="AV38" i="3"/>
  <c r="BC38" i="3"/>
  <c r="AV115" i="3"/>
  <c r="BC115" i="3"/>
  <c r="C17" i="1"/>
  <c r="BC42" i="3"/>
  <c r="AV42" i="3"/>
  <c r="AV45" i="3"/>
  <c r="C16" i="1"/>
  <c r="AV109" i="3"/>
  <c r="BC109" i="3"/>
  <c r="AV108" i="3"/>
  <c r="AV74" i="3"/>
  <c r="BC74" i="3"/>
  <c r="AV123" i="3"/>
  <c r="BC123" i="3"/>
  <c r="AV111" i="3"/>
  <c r="AV14" i="3"/>
  <c r="BC14" i="3"/>
  <c r="BC32" i="3"/>
  <c r="AV32" i="3"/>
  <c r="BC119" i="3"/>
  <c r="AV119" i="3"/>
  <c r="AV122" i="3"/>
  <c r="BC86" i="3"/>
  <c r="AV37" i="3"/>
  <c r="BC106" i="3"/>
  <c r="AV106" i="3"/>
  <c r="AV90" i="3"/>
  <c r="BC90" i="3"/>
  <c r="BC51" i="3"/>
  <c r="AV51" i="3"/>
  <c r="BC105" i="3"/>
  <c r="AV105" i="3"/>
  <c r="AV118" i="3"/>
  <c r="BC118" i="3"/>
  <c r="BC97" i="3"/>
  <c r="AV97" i="3"/>
  <c r="H35" i="3"/>
  <c r="AV98" i="3"/>
  <c r="BC71" i="3"/>
  <c r="AV71" i="3"/>
  <c r="BC43" i="3"/>
  <c r="AV43" i="3"/>
  <c r="BC87" i="3"/>
  <c r="AV87" i="3"/>
  <c r="BC58" i="3"/>
  <c r="AV58" i="3"/>
  <c r="AV101" i="3"/>
  <c r="BC101" i="3"/>
  <c r="AV46" i="3"/>
  <c r="BC46" i="3"/>
  <c r="AV82" i="3"/>
  <c r="BC82" i="3"/>
  <c r="BC59" i="3"/>
  <c r="AV59" i="3"/>
  <c r="H66" i="3"/>
  <c r="BC57" i="3"/>
  <c r="C29" i="1"/>
  <c r="C22" i="1" l="1"/>
  <c r="F29" i="1"/>
  <c r="I28" i="1"/>
  <c r="I29" i="1" l="1"/>
</calcChain>
</file>

<file path=xl/sharedStrings.xml><?xml version="1.0" encoding="utf-8"?>
<sst xmlns="http://schemas.openxmlformats.org/spreadsheetml/2006/main" count="1412" uniqueCount="447">
  <si>
    <t>Krycí list slepého rozpočtu</t>
  </si>
  <si>
    <t>Název stavby:</t>
  </si>
  <si>
    <t>Objednatel:</t>
  </si>
  <si>
    <t>IČO/DIČ:</t>
  </si>
  <si>
    <t/>
  </si>
  <si>
    <t>Druh stavby:</t>
  </si>
  <si>
    <t>Projektant:</t>
  </si>
  <si>
    <t>Lokalita:</t>
  </si>
  <si>
    <t>Zhotovitel:</t>
  </si>
  <si>
    <t>-/-</t>
  </si>
  <si>
    <t>Začátek výstavby:</t>
  </si>
  <si>
    <t>Konec výstavby:</t>
  </si>
  <si>
    <t>Položek:</t>
  </si>
  <si>
    <t>JKSO:</t>
  </si>
  <si>
    <t>Zpracoval: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</si>
  <si>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</si>
  <si>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</si>
  <si>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</si>
  <si>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</si>
  <si>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</si>
  <si>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</si>
  <si>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</si>
  <si>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</si>
  <si>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</si>
  <si>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</si>
  <si>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</si>
  <si>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</si>
  <si>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Montáž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</si>
  <si>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</si>
  <si>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</si>
  <si>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</si>
  <si>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</si>
  <si>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</si>
  <si>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</si>
  <si>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</si>
  <si>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</si>
  <si>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</si>
  <si>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</si>
  <si>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</si>
  <si>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</si>
  <si>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</si>
  <si>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</si>
  <si>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DN celkem z obj.</t>
  </si>
  <si>
    <t>NUS celkem z obj.</t>
  </si>
  <si>
    <t>VORN celkem</t>
  </si>
  <si>
    <t>VORN celkem z obj.</t>
  </si>
  <si>
    <t>Základ 0%</t>
  </si>
  <si>
    <t>Základ 12%</t>
  </si>
  <si>
    <t>DPH 12%</t>
  </si>
  <si>
    <t>Celkem bez DPH</t>
  </si>
  <si>
    <t>Základ 21%</t>
  </si>
  <si>
    <t>DPH 21%</t>
  </si>
  <si>
    <t>Celkem včetně DPH</t>
  </si>
  <si>
    <t>Projektant</t>
  </si>
  <si>
    <t>Objednatel</t>
  </si>
  <si>
    <t>Zhotovitel</t>
  </si>
  <si>
    <t>Datum, razítko a podpis</t>
  </si>
  <si>
    <t>Poznámka:</t>
  </si>
  <si>
    <t>Veškeré zde uvedené konkrétní typy výrobky, je možné nahradit jiným výrobkem ve stejné kvality a stejným zpsobem využití. Jedná se o projekční rozpočet s ceníkovými cenami. Jedná se o materiálovou specifikaci nenahrazující výrobní přípravu dodavatele. Výpis obsahuje pouze základní položky ve smyslu dodávka. Při zpracování nabídky je nutné vycházet ze všech částí dokumentace (tj. technické zprávy, všech výkresy i specifikace materiálu. Pouhým oceněním výkazu výměr není možné vypracovat kvalitní nabídku. Předpokládá se, že dodávka je nabízena jako kompletní dílo včetně kompletní montáže, veškerého
souvisejícího doplňkového, podružného a montážního materiálu tak, aby celé zařízení bylo funkční a splňovalo všechny
přdedpisy, které se na ně vztahují (součástí potrubí jsou nejen kolena, oblouky, redukce, šroubení, prostupové manžety ale i podpěry, konzoly a závěsy a veškeré ocelové konstrukce nezbytné pro uložení. Potenciálním dodavatelem musí být odborná firma, která se obeznámila se všemi okolnostmi této zakázky a zahrnula je do nabízené ceny. Součástí ceny musí být veškeré náklady, aby cena byla konečná a zahrnovala celou dodávku akce. Dodavatel ručí za to, že v nabízené ceně je navrženo veškeré potřebné zařízení a výkony.</t>
  </si>
  <si>
    <t>Vedlejší a ostatní rozpočtové náklady</t>
  </si>
  <si>
    <t>Vedlejší rozpočtové náklady VRN</t>
  </si>
  <si>
    <t>Doplňkové náklady DN</t>
  </si>
  <si>
    <t>Kč</t>
  </si>
  <si>
    <t>%</t>
  </si>
  <si>
    <t>Základna</t>
  </si>
  <si>
    <t>Celkem DN</t>
  </si>
  <si>
    <t>Celkem NUS</t>
  </si>
  <si>
    <t>Celkem VRN</t>
  </si>
  <si>
    <t>Ostatní rozpočtové náklady ORN</t>
  </si>
  <si>
    <t>Ostatní rozpočtové náklady (ORN)</t>
  </si>
  <si>
    <t>Celkem ORN</t>
  </si>
  <si>
    <t>Slepý stavební rozpočet</t>
  </si>
  <si>
    <t>Rekonstrukce výměníkové stanice- Nerudova 7</t>
  </si>
  <si>
    <t>Doba výstavby:</t>
  </si>
  <si>
    <t>92 dní</t>
  </si>
  <si>
    <t> </t>
  </si>
  <si>
    <t>D.1.4.1- Vytápění</t>
  </si>
  <si>
    <t xml:space="preserve"> </t>
  </si>
  <si>
    <t>Ing. Lukáš Něčas</t>
  </si>
  <si>
    <t>Nerudova 305/7, 741 01, Nový Jičín</t>
  </si>
  <si>
    <t>31.01.2025</t>
  </si>
  <si>
    <t>-</t>
  </si>
  <si>
    <t>Zpracováno dne:</t>
  </si>
  <si>
    <t>10.10.2024</t>
  </si>
  <si>
    <t>Ing. Lukáš Němec</t>
  </si>
  <si>
    <t>Č</t>
  </si>
  <si>
    <t>Kód</t>
  </si>
  <si>
    <t>Zkrácený popis</t>
  </si>
  <si>
    <t>MJ</t>
  </si>
  <si>
    <t>Množství</t>
  </si>
  <si>
    <t>Cena/MJ</t>
  </si>
  <si>
    <t>Náklady (Kč)</t>
  </si>
  <si>
    <t>Cenová</t>
  </si>
  <si>
    <t>ISWORK</t>
  </si>
  <si>
    <t>GROUPCODE</t>
  </si>
  <si>
    <t>VATTAX</t>
  </si>
  <si>
    <t>Rozměry</t>
  </si>
  <si>
    <t>(Kč)</t>
  </si>
  <si>
    <t>Dodávka</t>
  </si>
  <si>
    <t>Celkem</t>
  </si>
  <si>
    <t>soustava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</si>
  <si>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</si>
  <si>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</si>
  <si>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</si>
  <si>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</si>
  <si>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</si>
  <si>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</si>
  <si>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</si>
  <si>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</si>
  <si>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</si>
  <si>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MAT</t>
  </si>
  <si>
    <t>WORK</t>
  </si>
  <si>
    <t>CELK</t>
  </si>
  <si>
    <t>731</t>
  </si>
  <si>
    <t>Předávací stanice- Zařízení</t>
  </si>
  <si>
    <t>1</t>
  </si>
  <si>
    <t>VL01</t>
  </si>
  <si>
    <t>Demontáž stávajících zařízení předávácí stanic pro vytápění a ohřevu teplé vody včetně všech armatur</t>
  </si>
  <si>
    <t>kus</t>
  </si>
  <si>
    <t>RTS I / 2024</t>
  </si>
  <si>
    <t>7</t>
  </si>
  <si>
    <t>731_</t>
  </si>
  <si>
    <t>73_</t>
  </si>
  <si>
    <t>_</t>
  </si>
  <si>
    <t>2</t>
  </si>
  <si>
    <t>VL02</t>
  </si>
  <si>
    <t>Int. vysoce účinné oběhové čerpadlo ele řízené DN32, PN10, přír. přip.DN32, Q=4,06m3/hod, H=6,0m v. sl., U=230V, I=1,47A, P=171W, vč. přírub a těsnění</t>
  </si>
  <si>
    <t>kpl</t>
  </si>
  <si>
    <t>Č.1</t>
  </si>
  <si>
    <t>3</t>
  </si>
  <si>
    <t>VL03</t>
  </si>
  <si>
    <t>Cirkulační oběhové čerpadlo ele řízené DN32, PN10, závit DN32, nerez, Q=2,2m3/hod, H=4,5m v. sl., U=230V, I=1,41A,P=175W, včetně čerpadlového šroubení</t>
  </si>
  <si>
    <t>Č.2</t>
  </si>
  <si>
    <t>4</t>
  </si>
  <si>
    <t>732429112R00</t>
  </si>
  <si>
    <t>Montáž čerpadel oběhových spirálních, DN 32</t>
  </si>
  <si>
    <t>soubor</t>
  </si>
  <si>
    <t>5</t>
  </si>
  <si>
    <t>734293114R00</t>
  </si>
  <si>
    <t>Ventil směšovací třícestný Kv 8, DN 25, PN16, dp=24,6kPa, včetně 3 ks připojovacího šroubení 1", pohon řeší profese MaR, napětí 24VAC/DC, ovl. 0-10V</t>
  </si>
  <si>
    <t>6</t>
  </si>
  <si>
    <t>734209125R00</t>
  </si>
  <si>
    <t>Montáž armatur závitových,se 3závity, G 1</t>
  </si>
  <si>
    <t>Dvoucestný regulační ventil DN40, PN16, kvs25, dp=13,1kPa, včetně 2 ks připojovacího šroubení 6/4"</t>
  </si>
  <si>
    <t>8</t>
  </si>
  <si>
    <t>VL04</t>
  </si>
  <si>
    <t>Digitálně konfigurovatelný proporcionální pohon, 24VAC/VDC, ovládání 0-10V, včetně montáže</t>
  </si>
  <si>
    <t>9</t>
  </si>
  <si>
    <t>VL05</t>
  </si>
  <si>
    <t>Digitálně konfigurovatelný proporcionální pohon, 24VAC/VDC, ovládání ON/OFF, včetně montáže</t>
  </si>
  <si>
    <t>10</t>
  </si>
  <si>
    <t>734209117R00</t>
  </si>
  <si>
    <t>Montáž armatur závitových,se 2závity, G 6/4</t>
  </si>
  <si>
    <t>11</t>
  </si>
  <si>
    <t>484323324</t>
  </si>
  <si>
    <t>Výměník tepla deskový celonerezový, 50 desek- dpmax=25kPa, T,te,str= 60/40oC, Qmax,tep,str=9,25m3/hod, T,stud,str= 10/55oC, Qmax,st,str=3,9m3/hod,</t>
  </si>
  <si>
    <t>Z.1</t>
  </si>
  <si>
    <t>12</t>
  </si>
  <si>
    <t>Izolační PUR pouzdro pro výměník tepla</t>
  </si>
  <si>
    <t>13</t>
  </si>
  <si>
    <t>VL06</t>
  </si>
  <si>
    <t>Montáž výměníku tepla včetně izolačního pouzdra</t>
  </si>
  <si>
    <t>14</t>
  </si>
  <si>
    <t>VL07</t>
  </si>
  <si>
    <t>Nerezová akumulační nádrž ve stojatém provedení, včetně T.I., nerez AISI 316L, průměr: 472mm, h=1200mm, Pmax=10bar, Objem: 94l</t>
  </si>
  <si>
    <t>Z.2</t>
  </si>
  <si>
    <t>15</t>
  </si>
  <si>
    <t>VL08</t>
  </si>
  <si>
    <t>Montáž akumulační nádrže</t>
  </si>
  <si>
    <t>16</t>
  </si>
  <si>
    <t>VL09</t>
  </si>
  <si>
    <t>Doplňkové konstrukce – závěsy potrubí (objímky + táhla, pevné body, kluzné uložení, osové vedení)</t>
  </si>
  <si>
    <t>17</t>
  </si>
  <si>
    <t>VL10</t>
  </si>
  <si>
    <t>Ocelový rám předávací stanice, samonsoný z U a L profilů</t>
  </si>
  <si>
    <t>18</t>
  </si>
  <si>
    <t>998732101R00</t>
  </si>
  <si>
    <t>Přesun hmot pro strojovny, výšky do 6 m</t>
  </si>
  <si>
    <t>t</t>
  </si>
  <si>
    <t>733</t>
  </si>
  <si>
    <t>Předávací stanice- Rozvod potrubí</t>
  </si>
  <si>
    <t>19</t>
  </si>
  <si>
    <t>733110806R00</t>
  </si>
  <si>
    <t>Demontáž potrubí ocelového závitového do DN 15-32</t>
  </si>
  <si>
    <t>m</t>
  </si>
  <si>
    <t>733_</t>
  </si>
  <si>
    <t>20</t>
  </si>
  <si>
    <t>733110808R00</t>
  </si>
  <si>
    <t>Demontáž potrubí ocelového závitového do DN 32-50</t>
  </si>
  <si>
    <t>21</t>
  </si>
  <si>
    <t>733110810R00</t>
  </si>
  <si>
    <t>Demontáž potrubí ocelového závitového do DN 50-80</t>
  </si>
  <si>
    <t>22</t>
  </si>
  <si>
    <t>733111115R00</t>
  </si>
  <si>
    <t>Potrubí závit. bezešvé běžné v kotelnách DN 25</t>
  </si>
  <si>
    <t>23</t>
  </si>
  <si>
    <t>733111117R00</t>
  </si>
  <si>
    <t>Potrubí závit. bezešvé běžné v kotelnách DN 40</t>
  </si>
  <si>
    <t>24</t>
  </si>
  <si>
    <t>733111118R00</t>
  </si>
  <si>
    <t>Potrubí závit. bezešvé běžné v kotelnách DN 50</t>
  </si>
  <si>
    <t>25</t>
  </si>
  <si>
    <t>733121221R00</t>
  </si>
  <si>
    <t>Potrubí hladké bezešvé v kotelnách DN65</t>
  </si>
  <si>
    <t>26</t>
  </si>
  <si>
    <t>631547214</t>
  </si>
  <si>
    <t>Pouzdro potrubní izolační - 28/40 mm</t>
  </si>
  <si>
    <t>27</t>
  </si>
  <si>
    <t>631547216</t>
  </si>
  <si>
    <t>Pouzdro potrubní izolační - 42/40 mm</t>
  </si>
  <si>
    <t>28</t>
  </si>
  <si>
    <t>631547218</t>
  </si>
  <si>
    <t>Pouzdro potrubní izolační 54/40 mm</t>
  </si>
  <si>
    <t>29</t>
  </si>
  <si>
    <t>631547221</t>
  </si>
  <si>
    <t>Pouzdro potrubní izolační  70/40 mm</t>
  </si>
  <si>
    <t>30</t>
  </si>
  <si>
    <t>733113115R00</t>
  </si>
  <si>
    <t>Příplatek za zhotovení přípojky DN 25</t>
  </si>
  <si>
    <t>31</t>
  </si>
  <si>
    <t>733113117R00</t>
  </si>
  <si>
    <t>Příplatek za zhotovení přípojky DN 40</t>
  </si>
  <si>
    <t>32</t>
  </si>
  <si>
    <t>733113118R00</t>
  </si>
  <si>
    <t>Příplatek za zhotovení přípojky DN 50</t>
  </si>
  <si>
    <t>33</t>
  </si>
  <si>
    <t>VL11</t>
  </si>
  <si>
    <t>Příplatek za zhotovení přípojení na stávající rozvod DN40</t>
  </si>
  <si>
    <t>34</t>
  </si>
  <si>
    <t>VL12</t>
  </si>
  <si>
    <t>Příplatek za zhotovení přípojení na stávající rozvod DN65</t>
  </si>
  <si>
    <t>35</t>
  </si>
  <si>
    <t>733190106R00</t>
  </si>
  <si>
    <t>Tlaková zkouška potrubí do DN 32</t>
  </si>
  <si>
    <t>36</t>
  </si>
  <si>
    <t>733190107R00</t>
  </si>
  <si>
    <t>Tlaková zkouška potrubí  DN 40</t>
  </si>
  <si>
    <t>37</t>
  </si>
  <si>
    <t>733190108R00</t>
  </si>
  <si>
    <t>Tlaková zkouška potrubí  DN 50</t>
  </si>
  <si>
    <t>38</t>
  </si>
  <si>
    <t>733190109R00</t>
  </si>
  <si>
    <t>Tlaková zkouška potrubí  DN 65</t>
  </si>
  <si>
    <t>39</t>
  </si>
  <si>
    <t>722170804R00</t>
  </si>
  <si>
    <t>Demontáž rozvodů vody z plastů do D 63 mm</t>
  </si>
  <si>
    <t>40</t>
  </si>
  <si>
    <t>722172745R00</t>
  </si>
  <si>
    <t>Potrubí plastové PP-RCT EVO, bez zednických výpomocí, D 40 x 4,5 mm, S 4</t>
  </si>
  <si>
    <t>41</t>
  </si>
  <si>
    <t>722172746R00</t>
  </si>
  <si>
    <t>Potrubí plastové PP-RCT EVO, bez zednických výpomocí, D 50 x 5,6 mm, S 4</t>
  </si>
  <si>
    <t>42</t>
  </si>
  <si>
    <t>722181244RV9</t>
  </si>
  <si>
    <t>Izolace návleková tl. stěny 20 mm pro potrubí d40</t>
  </si>
  <si>
    <t>43</t>
  </si>
  <si>
    <t>722181244RW6</t>
  </si>
  <si>
    <t>Izolace návleková tl. stěny 20 mm pro potrubí d50</t>
  </si>
  <si>
    <t>44</t>
  </si>
  <si>
    <t>722182006RT2</t>
  </si>
  <si>
    <t>Montáž tepelné izolace na potrubí přímé, do DN 80 mm, samolepicí spoj</t>
  </si>
  <si>
    <t>45</t>
  </si>
  <si>
    <t>VL15</t>
  </si>
  <si>
    <t>Příplatek za zhotovení připojení na stávající rozvod d40</t>
  </si>
  <si>
    <t>46</t>
  </si>
  <si>
    <t>VL16</t>
  </si>
  <si>
    <t>Příplatek za zhotovení připojení na stávající rozvod d50</t>
  </si>
  <si>
    <t>47</t>
  </si>
  <si>
    <t>722280108R00</t>
  </si>
  <si>
    <t>Tlaková zkouška vodovodního potrubí do DN 50 mm</t>
  </si>
  <si>
    <t>48</t>
  </si>
  <si>
    <t>998733101R00</t>
  </si>
  <si>
    <t>Přesun hmot pro rozvody potrubí, výšky do 6 m</t>
  </si>
  <si>
    <t>734</t>
  </si>
  <si>
    <t>Předávací stanice- Armatury teplovodní</t>
  </si>
  <si>
    <t>49</t>
  </si>
  <si>
    <t>734213115R00</t>
  </si>
  <si>
    <t>Ventil automatický odvzdušňovací DN 15, včetně kulového kohoutu</t>
  </si>
  <si>
    <t>734_</t>
  </si>
  <si>
    <t>50</t>
  </si>
  <si>
    <t>734295321R00</t>
  </si>
  <si>
    <t>Kohout kulový vypouštěcí,komplet DN 15, včetně hadicové vývodky a zátky</t>
  </si>
  <si>
    <t>51</t>
  </si>
  <si>
    <t>734413144R00</t>
  </si>
  <si>
    <t>Teploměr 120 A, D 100 / dl.jímky 100 mm, Rozsah 0-120oC</t>
  </si>
  <si>
    <t>52</t>
  </si>
  <si>
    <t>734421130R00</t>
  </si>
  <si>
    <t>Tlakoměr deformační 0-10 MPa č. 03313, D 160, Rozsah: 0 - 600  kPa, Včetně kondenzační smyčky s 3-cestným zkušebním kohoutem, připojovacím potrubím</t>
  </si>
  <si>
    <t>53</t>
  </si>
  <si>
    <t>734494213R00</t>
  </si>
  <si>
    <t>Návarky s trubkovým závitem G 1/2 pro teploměr a tlakoměr</t>
  </si>
  <si>
    <t>54</t>
  </si>
  <si>
    <t>Návarky s trubkovým závitem G 1/2 pro čidla MaR, čidla dodávkou profese MaR</t>
  </si>
  <si>
    <t>55</t>
  </si>
  <si>
    <t>734235125R00</t>
  </si>
  <si>
    <t>Kohout kulový,2xvnitřní závit DN 40</t>
  </si>
  <si>
    <t>56</t>
  </si>
  <si>
    <t>734235126R00</t>
  </si>
  <si>
    <t>Kohout kulový,2xvnitřní závit DN 50</t>
  </si>
  <si>
    <t>57</t>
  </si>
  <si>
    <t>734245125R00</t>
  </si>
  <si>
    <t>Ventil zpětný,2xvnitřní závit DN 40</t>
  </si>
  <si>
    <t>58</t>
  </si>
  <si>
    <t>734245126R00</t>
  </si>
  <si>
    <t>Ventil zpětný,2xvnitřní závit DN 50</t>
  </si>
  <si>
    <t>59</t>
  </si>
  <si>
    <t>734295215R00</t>
  </si>
  <si>
    <t>Filtr, vnitřní-vnitřní závit DN 40</t>
  </si>
  <si>
    <t>60</t>
  </si>
  <si>
    <t>734295216R00</t>
  </si>
  <si>
    <t>Filtr, vnitřní-vnitřní závit DN 50</t>
  </si>
  <si>
    <t>61</t>
  </si>
  <si>
    <t>734223834R00</t>
  </si>
  <si>
    <t>Ventil vyvažovací DN 32 vnitřní závit s měřícími ventily</t>
  </si>
  <si>
    <t>62</t>
  </si>
  <si>
    <t>734223835R00</t>
  </si>
  <si>
    <t>Ventil vyvažovací DN40 vnitřní závit s měřícími ventily</t>
  </si>
  <si>
    <t>63</t>
  </si>
  <si>
    <t>734223836R00</t>
  </si>
  <si>
    <t>Ventil vyvažovací DN 50 vnitřní závit s měřícími ventily</t>
  </si>
  <si>
    <t>64</t>
  </si>
  <si>
    <t>734173613R00</t>
  </si>
  <si>
    <t>Přírubové spoje DN 40, 2ks příruba, těsnění, šrouby</t>
  </si>
  <si>
    <t>65</t>
  </si>
  <si>
    <t>734173614R00</t>
  </si>
  <si>
    <t>Přírubové spoje DN 50, 2ks příruba, těsnění, šrouby</t>
  </si>
  <si>
    <t>66</t>
  </si>
  <si>
    <t>230037054R00</t>
  </si>
  <si>
    <t>Montáž přírubových spojů do PN 250, DN 40</t>
  </si>
  <si>
    <t>spoj</t>
  </si>
  <si>
    <t>67</t>
  </si>
  <si>
    <t>230037055R00</t>
  </si>
  <si>
    <t>Montáž přírubových spojů do PN 250, DN 50</t>
  </si>
  <si>
    <t>68</t>
  </si>
  <si>
    <t>734172112R00</t>
  </si>
  <si>
    <t>Mezikusy z ocel.trubek hladkých pro měřič tepla, DN 25, l=260mm</t>
  </si>
  <si>
    <t>69</t>
  </si>
  <si>
    <t>734172113R00</t>
  </si>
  <si>
    <t>Mezikus z ocel.trubek hladkých pro měříč tepla, DN 40, l=300mm</t>
  </si>
  <si>
    <t>70</t>
  </si>
  <si>
    <t>734209103R00</t>
  </si>
  <si>
    <t>Montáž armatur závitových,s 1závitem, G 1/2</t>
  </si>
  <si>
    <t>71</t>
  </si>
  <si>
    <t>734209116R00</t>
  </si>
  <si>
    <t>Montáž armatur závitových,se 2závity, G 5/4</t>
  </si>
  <si>
    <t>72</t>
  </si>
  <si>
    <t>73</t>
  </si>
  <si>
    <t>734209118R00</t>
  </si>
  <si>
    <t>Montáž armatur závitových,se 2závity, G 2</t>
  </si>
  <si>
    <t>74</t>
  </si>
  <si>
    <t>998734101R00</t>
  </si>
  <si>
    <t>Přesun hmot pro armatury, výšky do 6 m</t>
  </si>
  <si>
    <t>722</t>
  </si>
  <si>
    <t>Armatury- Bronzové (plastové) určené pro styk s pitnou vodou (závitové)</t>
  </si>
  <si>
    <t>75</t>
  </si>
  <si>
    <t>722223131R00</t>
  </si>
  <si>
    <t>Kohout vodovodní, kulový, vypouštěcí, komplet, DN 15 mm</t>
  </si>
  <si>
    <t>722_</t>
  </si>
  <si>
    <t>72_</t>
  </si>
  <si>
    <t>76</t>
  </si>
  <si>
    <t>722237325R00</t>
  </si>
  <si>
    <t>Kohout kulový, 2x vnitřní závit, DN 32 mm, včetně šroubení a přechodu mosaz/PP-RCT</t>
  </si>
  <si>
    <t>77</t>
  </si>
  <si>
    <t>722237326R00</t>
  </si>
  <si>
    <t>Kohout kulový, 2x vnitřní závit, DN 40 mm, včetně šroubení a přechodu mosaz/PP-RCT</t>
  </si>
  <si>
    <t>78</t>
  </si>
  <si>
    <t>722237624R00</t>
  </si>
  <si>
    <t>Ventil vodovodní, zpětný, 2x vnitřní závit, DN 32 mm, včetně šroubení a přechodu mosaz/PP-RCT</t>
  </si>
  <si>
    <t>79</t>
  </si>
  <si>
    <t>722237625R00</t>
  </si>
  <si>
    <t>Ventil vodovodní, zpětný, 2x vnitřní závit, DN 40 mm, včetně šroubení a přechodu mosaz/PP-RCT</t>
  </si>
  <si>
    <t>80</t>
  </si>
  <si>
    <t>722236514R00</t>
  </si>
  <si>
    <t>Filtr vodovodní, velikost oka 0,4 mm, vnitřní závity, DN 32 mm</t>
  </si>
  <si>
    <t>81</t>
  </si>
  <si>
    <t>734255135R00</t>
  </si>
  <si>
    <t>Ventil pojistný, membránová DN 25 x 6,0 bar</t>
  </si>
  <si>
    <t>82</t>
  </si>
  <si>
    <t>Přírubové spoje plastové , DN 32, 2ks plastová příruba, těsnění, šřouby</t>
  </si>
  <si>
    <t>83</t>
  </si>
  <si>
    <t>Přírubové spoje plastové , DN 40, 2ks plastová příruba, těsnění, šřouby</t>
  </si>
  <si>
    <t>84</t>
  </si>
  <si>
    <t>230032026R00</t>
  </si>
  <si>
    <t>Montáž přírubových spojů, DN 40</t>
  </si>
  <si>
    <t>85</t>
  </si>
  <si>
    <t>230032025R00</t>
  </si>
  <si>
    <t>Montáž přírubových spojů, DN 32</t>
  </si>
  <si>
    <t>86</t>
  </si>
  <si>
    <t>722229101R00</t>
  </si>
  <si>
    <t>Montáž vodovodních armatur,1závit, G 1/2"</t>
  </si>
  <si>
    <t>87</t>
  </si>
  <si>
    <t>722229103R00</t>
  </si>
  <si>
    <t>Montáž vodovodních armatur,1závit, G 1"</t>
  </si>
  <si>
    <t>88</t>
  </si>
  <si>
    <t>722239105R00</t>
  </si>
  <si>
    <t>Montáž vodovodních armatur 2závity, G 6/4"</t>
  </si>
  <si>
    <t>89</t>
  </si>
  <si>
    <t>722239104R00</t>
  </si>
  <si>
    <t>Montáž vodovodních armatur 2závity, G 5/4"</t>
  </si>
  <si>
    <t>90</t>
  </si>
  <si>
    <t>998722101R00</t>
  </si>
  <si>
    <t>Přesun hmot pro vnitřní vodovod, výšky do 6 m</t>
  </si>
  <si>
    <t>783</t>
  </si>
  <si>
    <t>Nátěry</t>
  </si>
  <si>
    <t>91</t>
  </si>
  <si>
    <t>783424140R00</t>
  </si>
  <si>
    <t>Nátěr syntetický potrubí do DN 50 mm  Z + 2x</t>
  </si>
  <si>
    <t>783_</t>
  </si>
  <si>
    <t>78_</t>
  </si>
  <si>
    <t>92</t>
  </si>
  <si>
    <t>783425150R00</t>
  </si>
  <si>
    <t>Nátěr syntetický potrubí do DN 100 mm  Z + 2x</t>
  </si>
  <si>
    <t>93</t>
  </si>
  <si>
    <t>783220010RAA</t>
  </si>
  <si>
    <t>Nátěr kovových doplňkových konstrukcí syntetický</t>
  </si>
  <si>
    <t>m2</t>
  </si>
  <si>
    <t>0</t>
  </si>
  <si>
    <t>94</t>
  </si>
  <si>
    <t>VL17</t>
  </si>
  <si>
    <t>Sestavení předávací stanice</t>
  </si>
  <si>
    <t>0_</t>
  </si>
  <si>
    <t>95</t>
  </si>
  <si>
    <t>VL18</t>
  </si>
  <si>
    <t>Montáž předávací stanice a napojení na stávající rozvody</t>
  </si>
  <si>
    <t>96</t>
  </si>
  <si>
    <t>VL19</t>
  </si>
  <si>
    <t>Štítky pro popis zařízení, armatur a pro označení směru proudění</t>
  </si>
  <si>
    <t>97</t>
  </si>
  <si>
    <t>VL20</t>
  </si>
  <si>
    <t>Tlaková, stavební, topná a dilatační zkouška potrubí včetně protokolu</t>
  </si>
  <si>
    <t>98</t>
  </si>
  <si>
    <t>VL21</t>
  </si>
  <si>
    <t>Naplnění systému vodou s inhibitorem a odvzdušnění systému</t>
  </si>
  <si>
    <t>99</t>
  </si>
  <si>
    <t>941955001R00</t>
  </si>
  <si>
    <t>Lešení lehké pomocné, výška podlahy do 1,2 m</t>
  </si>
  <si>
    <t>100</t>
  </si>
  <si>
    <t>VL22</t>
  </si>
  <si>
    <t>Dozor pro svařování</t>
  </si>
  <si>
    <t>101</t>
  </si>
  <si>
    <t>VL23</t>
  </si>
  <si>
    <t>Stavební přípomoci</t>
  </si>
  <si>
    <t>102</t>
  </si>
  <si>
    <t>VL24</t>
  </si>
  <si>
    <t>Uvedení  topného systému do provozu</t>
  </si>
  <si>
    <t>Celkem:</t>
  </si>
  <si>
    <t>Výměník tepla desk, celonerez. Q=205kW, 50 desek- dpmax=25kPa, T,te,str= 60/40oC, Qmax,tep,str=9,25m3/hod, T,stud,str= 10/55oC, Qmax,st,str=3,9m3/hod,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</si>
</sst>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name val="Calibri"/>
      <charset val="1"/>
    </font>
    <font>
      <sz val="18"/>
      <color rgb="FF000000"/>
      <name val="Arial"/>
      <charset val="238"/>
    </font>
    <font>
      <sz val="10"/>
      <color rgb="FF000000"/>
      <name val="Arial"/>
      <charset val="238"/>
    </font>
    <font>
      <b/>
      <sz val="10"/>
      <color rgb="FF000000"/>
      <name val="Arial"/>
      <charset val="238"/>
    </font>
    <font>
      <b/>
      <sz val="18"/>
      <color rgb="FF000000"/>
      <name val="Arial"/>
      <charset val="238"/>
    </font>
    <font>
      <b/>
      <sz val="20"/>
      <color rgb="FF000000"/>
      <name val="Arial"/>
      <charset val="238"/>
    </font>
    <font>
      <b/>
      <sz val="11"/>
      <color rgb="FF000000"/>
      <name val="Arial"/>
      <charset val="238"/>
    </font>
    <font>
      <b/>
      <sz val="12"/>
      <color rgb="FF000000"/>
      <name val="Arial"/>
      <charset val="238"/>
    </font>
    <font>
      <sz val="12"/>
      <color rgb="FF000000"/>
      <name val="Arial"/>
      <charset val="238"/>
    </font>
    <font>
      <i/>
      <sz val="8"/>
      <color rgb="FF000000"/>
      <name val="Arial"/>
      <charset val="238"/>
    </font>
    <font>
      <sz val="11"/>
      <name val="Arial"/>
      <charset val="1"/>
    </font>
    <font>
      <i/>
      <sz val="10"/>
      <color rgb="FF000000"/>
      <name val="Arial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595959"/>
        <bgColor rgb="FF595959"/>
      </patternFill>
    </fill>
    <fill>
      <patternFill patternType="solid">
        <fgColor rgb="FFFFFFFF"/>
        <bgColor rgb="FFFFFFFF"/>
      </patternFill>
    </fill>
  </fills>
  <borders count="8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7">
    <xf numFmtId="0" fontId="0" fillId="0" borderId="0" xfId="0"/>
    <xf numFmtId="0" fontId="2" fillId="0" borderId="0" xfId="0" applyFont="1" applyAlignment="1">
      <alignment horizontal="left" vertical="center" wrapText="1"/>
    </xf>
    <xf numFmtId="0" fontId="5" fillId="2" borderId="11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7" fillId="0" borderId="15" xfId="0" applyFont="1" applyBorder="1" applyAlignment="1">
      <alignment horizontal="left" vertical="center"/>
    </xf>
    <xf numFmtId="0" fontId="8" fillId="0" borderId="16" xfId="0" applyFont="1" applyBorder="1" applyAlignment="1">
      <alignment horizontal="left" vertical="center"/>
    </xf>
    <xf numFmtId="4" fontId="8" fillId="0" borderId="16" xfId="0" applyNumberFormat="1" applyFont="1" applyBorder="1" applyAlignment="1">
      <alignment horizontal="right" vertical="center"/>
    </xf>
    <xf numFmtId="0" fontId="8" fillId="0" borderId="16" xfId="0" applyFont="1" applyBorder="1" applyAlignment="1">
      <alignment horizontal="right" vertical="center"/>
    </xf>
    <xf numFmtId="0" fontId="7" fillId="0" borderId="19" xfId="0" applyFont="1" applyBorder="1" applyAlignment="1">
      <alignment horizontal="left" vertical="center"/>
    </xf>
    <xf numFmtId="4" fontId="8" fillId="0" borderId="23" xfId="0" applyNumberFormat="1" applyFont="1" applyBorder="1" applyAlignment="1">
      <alignment horizontal="right" vertical="center"/>
    </xf>
    <xf numFmtId="0" fontId="8" fillId="0" borderId="23" xfId="0" applyFont="1" applyBorder="1" applyAlignment="1">
      <alignment horizontal="right" vertical="center"/>
    </xf>
    <xf numFmtId="4" fontId="8" fillId="0" borderId="14" xfId="0" applyNumberFormat="1" applyFont="1" applyBorder="1" applyAlignment="1">
      <alignment horizontal="right" vertical="center"/>
    </xf>
    <xf numFmtId="4" fontId="8" fillId="0" borderId="26" xfId="0" applyNumberFormat="1" applyFont="1" applyBorder="1" applyAlignment="1">
      <alignment horizontal="right" vertical="center"/>
    </xf>
    <xf numFmtId="4" fontId="7" fillId="2" borderId="13" xfId="0" applyNumberFormat="1" applyFont="1" applyFill="1" applyBorder="1" applyAlignment="1">
      <alignment horizontal="right" vertical="center"/>
    </xf>
    <xf numFmtId="4" fontId="7" fillId="2" borderId="18" xfId="0" applyNumberFormat="1" applyFont="1" applyFill="1" applyBorder="1" applyAlignment="1">
      <alignment horizontal="right" vertical="center"/>
    </xf>
    <xf numFmtId="0" fontId="9" fillId="0" borderId="40" xfId="0" applyFont="1" applyBorder="1" applyAlignment="1">
      <alignment horizontal="left" vertical="center"/>
    </xf>
    <xf numFmtId="0" fontId="3" fillId="0" borderId="45" xfId="0" applyFont="1" applyBorder="1" applyAlignment="1">
      <alignment horizontal="right" vertical="center"/>
    </xf>
    <xf numFmtId="4" fontId="2" fillId="0" borderId="16" xfId="0" applyNumberFormat="1" applyFont="1" applyBorder="1" applyAlignment="1">
      <alignment horizontal="right" vertical="center"/>
    </xf>
    <xf numFmtId="0" fontId="2" fillId="0" borderId="16" xfId="0" applyFont="1" applyBorder="1" applyAlignment="1">
      <alignment horizontal="left" vertical="center"/>
    </xf>
    <xf numFmtId="4" fontId="2" fillId="0" borderId="49" xfId="0" applyNumberFormat="1" applyFont="1" applyBorder="1" applyAlignment="1">
      <alignment horizontal="right" vertical="center"/>
    </xf>
    <xf numFmtId="0" fontId="2" fillId="0" borderId="49" xfId="0" applyFont="1" applyBorder="1" applyAlignment="1">
      <alignment horizontal="left" vertical="center"/>
    </xf>
    <xf numFmtId="0" fontId="3" fillId="0" borderId="53" xfId="0" applyFont="1" applyBorder="1" applyAlignment="1">
      <alignment horizontal="left" vertical="center"/>
    </xf>
    <xf numFmtId="0" fontId="3" fillId="0" borderId="53" xfId="0" applyFont="1" applyBorder="1" applyAlignment="1">
      <alignment horizontal="right" vertical="center"/>
    </xf>
    <xf numFmtId="4" fontId="3" fillId="0" borderId="53" xfId="0" applyNumberFormat="1" applyFont="1" applyBorder="1" applyAlignment="1">
      <alignment horizontal="right" vertical="center"/>
    </xf>
    <xf numFmtId="4" fontId="3" fillId="2" borderId="0" xfId="0" applyNumberFormat="1" applyFont="1" applyFill="1" applyAlignment="1">
      <alignment horizontal="right" vertical="center"/>
    </xf>
    <xf numFmtId="0" fontId="3" fillId="0" borderId="57" xfId="0" applyFont="1" applyBorder="1" applyAlignment="1">
      <alignment horizontal="left" vertical="center"/>
    </xf>
    <xf numFmtId="0" fontId="3" fillId="0" borderId="58" xfId="0" applyFont="1" applyBorder="1" applyAlignment="1">
      <alignment horizontal="left" vertical="center"/>
    </xf>
    <xf numFmtId="0" fontId="3" fillId="0" borderId="58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3" fillId="0" borderId="62" xfId="0" applyFont="1" applyBorder="1" applyAlignment="1">
      <alignment horizontal="center" vertical="center"/>
    </xf>
    <xf numFmtId="0" fontId="3" fillId="2" borderId="0" xfId="0" applyFont="1" applyFill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2" fillId="0" borderId="63" xfId="0" applyFont="1" applyBorder="1" applyAlignment="1">
      <alignment horizontal="left" vertical="center"/>
    </xf>
    <xf numFmtId="0" fontId="2" fillId="0" borderId="64" xfId="0" applyFont="1" applyBorder="1" applyAlignment="1">
      <alignment horizontal="left" vertical="center"/>
    </xf>
    <xf numFmtId="0" fontId="3" fillId="0" borderId="67" xfId="0" applyFont="1" applyBorder="1" applyAlignment="1">
      <alignment horizontal="center" vertical="center"/>
    </xf>
    <xf numFmtId="0" fontId="3" fillId="0" borderId="68" xfId="0" applyFont="1" applyBorder="1" applyAlignment="1">
      <alignment horizontal="center" vertical="center"/>
    </xf>
    <xf numFmtId="0" fontId="3" fillId="0" borderId="69" xfId="0" applyFont="1" applyBorder="1" applyAlignment="1">
      <alignment horizontal="center" vertical="center"/>
    </xf>
    <xf numFmtId="0" fontId="3" fillId="0" borderId="70" xfId="0" applyFont="1" applyBorder="1" applyAlignment="1">
      <alignment horizontal="center" vertical="center"/>
    </xf>
    <xf numFmtId="0" fontId="3" fillId="0" borderId="71" xfId="0" applyFont="1" applyBorder="1" applyAlignment="1">
      <alignment horizontal="center" vertical="center"/>
    </xf>
    <xf numFmtId="4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2" fillId="3" borderId="72" xfId="0" applyFont="1" applyFill="1" applyBorder="1" applyAlignment="1">
      <alignment horizontal="left" vertical="center"/>
    </xf>
    <xf numFmtId="0" fontId="3" fillId="3" borderId="72" xfId="0" applyFont="1" applyFill="1" applyBorder="1" applyAlignment="1">
      <alignment horizontal="left" vertical="center"/>
    </xf>
    <xf numFmtId="4" fontId="3" fillId="3" borderId="72" xfId="0" applyNumberFormat="1" applyFont="1" applyFill="1" applyBorder="1" applyAlignment="1">
      <alignment horizontal="right" vertical="center"/>
    </xf>
    <xf numFmtId="0" fontId="2" fillId="4" borderId="72" xfId="0" applyFont="1" applyFill="1" applyBorder="1" applyAlignment="1">
      <alignment horizontal="left" vertical="center"/>
    </xf>
    <xf numFmtId="4" fontId="2" fillId="4" borderId="72" xfId="0" applyNumberFormat="1" applyFont="1" applyFill="1" applyBorder="1" applyAlignment="1">
      <alignment horizontal="right" vertical="center"/>
    </xf>
    <xf numFmtId="0" fontId="10" fillId="4" borderId="72" xfId="0" applyFont="1" applyFill="1" applyBorder="1"/>
    <xf numFmtId="0" fontId="11" fillId="4" borderId="72" xfId="0" applyFont="1" applyFill="1" applyBorder="1" applyAlignment="1">
      <alignment horizontal="left" vertical="center"/>
    </xf>
    <xf numFmtId="4" fontId="11" fillId="4" borderId="72" xfId="0" applyNumberFormat="1" applyFont="1" applyFill="1" applyBorder="1" applyAlignment="1">
      <alignment horizontal="right" vertical="center"/>
    </xf>
    <xf numFmtId="0" fontId="2" fillId="0" borderId="72" xfId="0" applyFont="1" applyBorder="1" applyAlignment="1">
      <alignment horizontal="left" vertical="center"/>
    </xf>
    <xf numFmtId="4" fontId="2" fillId="0" borderId="72" xfId="0" applyNumberFormat="1" applyFont="1" applyBorder="1" applyAlignment="1">
      <alignment horizontal="right" vertical="center"/>
    </xf>
    <xf numFmtId="0" fontId="0" fillId="0" borderId="72" xfId="0" applyBorder="1"/>
    <xf numFmtId="4" fontId="3" fillId="0" borderId="72" xfId="0" applyNumberFormat="1" applyFont="1" applyBorder="1" applyAlignment="1">
      <alignment horizontal="right" vertical="center"/>
    </xf>
    <xf numFmtId="0" fontId="2" fillId="3" borderId="73" xfId="0" applyFont="1" applyFill="1" applyBorder="1" applyAlignment="1">
      <alignment horizontal="left" vertical="center"/>
    </xf>
    <xf numFmtId="0" fontId="3" fillId="3" borderId="74" xfId="0" applyFont="1" applyFill="1" applyBorder="1" applyAlignment="1">
      <alignment horizontal="left" vertical="center"/>
    </xf>
    <xf numFmtId="0" fontId="2" fillId="3" borderId="74" xfId="0" applyFont="1" applyFill="1" applyBorder="1" applyAlignment="1">
      <alignment horizontal="left" vertical="center"/>
    </xf>
    <xf numFmtId="4" fontId="3" fillId="3" borderId="74" xfId="0" applyNumberFormat="1" applyFont="1" applyFill="1" applyBorder="1" applyAlignment="1">
      <alignment horizontal="right" vertical="center"/>
    </xf>
    <xf numFmtId="0" fontId="3" fillId="3" borderId="75" xfId="0" applyFont="1" applyFill="1" applyBorder="1" applyAlignment="1">
      <alignment horizontal="right" vertical="center"/>
    </xf>
    <xf numFmtId="0" fontId="2" fillId="4" borderId="76" xfId="0" applyFont="1" applyFill="1" applyBorder="1" applyAlignment="1">
      <alignment horizontal="left" vertical="center"/>
    </xf>
    <xf numFmtId="0" fontId="2" fillId="4" borderId="77" xfId="0" applyFont="1" applyFill="1" applyBorder="1" applyAlignment="1">
      <alignment horizontal="right" vertical="center"/>
    </xf>
    <xf numFmtId="0" fontId="10" fillId="4" borderId="76" xfId="0" applyFont="1" applyFill="1" applyBorder="1"/>
    <xf numFmtId="0" fontId="10" fillId="4" borderId="77" xfId="0" applyFont="1" applyFill="1" applyBorder="1"/>
    <xf numFmtId="0" fontId="2" fillId="0" borderId="76" xfId="0" applyFont="1" applyBorder="1" applyAlignment="1">
      <alignment horizontal="left" vertical="center"/>
    </xf>
    <xf numFmtId="0" fontId="2" fillId="0" borderId="77" xfId="0" applyFont="1" applyBorder="1" applyAlignment="1">
      <alignment horizontal="right" vertical="center"/>
    </xf>
    <xf numFmtId="0" fontId="2" fillId="3" borderId="76" xfId="0" applyFont="1" applyFill="1" applyBorder="1" applyAlignment="1">
      <alignment horizontal="left" vertical="center"/>
    </xf>
    <xf numFmtId="0" fontId="3" fillId="3" borderId="77" xfId="0" applyFont="1" applyFill="1" applyBorder="1" applyAlignment="1">
      <alignment horizontal="right" vertical="center"/>
    </xf>
    <xf numFmtId="0" fontId="0" fillId="0" borderId="76" xfId="0" applyBorder="1"/>
    <xf numFmtId="0" fontId="0" fillId="0" borderId="77" xfId="0" applyBorder="1"/>
    <xf numFmtId="0" fontId="9" fillId="0" borderId="78" xfId="0" applyFont="1" applyBorder="1" applyAlignment="1">
      <alignment horizontal="left" vertical="center"/>
    </xf>
    <xf numFmtId="0" fontId="0" fillId="0" borderId="79" xfId="0" applyBorder="1"/>
    <xf numFmtId="0" fontId="0" fillId="0" borderId="80" xfId="0" applyBorder="1"/>
    <xf numFmtId="0" fontId="2" fillId="0" borderId="76" xfId="0" applyFont="1" applyFill="1" applyBorder="1" applyAlignment="1">
      <alignment horizontal="left" vertical="center"/>
    </xf>
    <xf numFmtId="0" fontId="2" fillId="0" borderId="72" xfId="0" applyFont="1" applyFill="1" applyBorder="1" applyAlignment="1">
      <alignment horizontal="left" vertical="center"/>
    </xf>
    <xf numFmtId="4" fontId="2" fillId="0" borderId="72" xfId="0" applyNumberFormat="1" applyFont="1" applyFill="1" applyBorder="1" applyAlignment="1">
      <alignment horizontal="right" vertical="center"/>
    </xf>
    <xf numFmtId="0" fontId="2" fillId="0" borderId="77" xfId="0" applyFont="1" applyFill="1" applyBorder="1" applyAlignment="1">
      <alignment horizontal="right" vertical="center"/>
    </xf>
    <xf numFmtId="0" fontId="0" fillId="0" borderId="0" xfId="0" applyFill="1"/>
    <xf numFmtId="4" fontId="2" fillId="0" borderId="0" xfId="0" applyNumberFormat="1" applyFont="1" applyFill="1" applyAlignment="1">
      <alignment horizontal="right" vertical="center"/>
    </xf>
    <xf numFmtId="0" fontId="3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left" vertical="center" wrapText="1"/>
    </xf>
    <xf numFmtId="0" fontId="10" fillId="0" borderId="76" xfId="0" applyFont="1" applyFill="1" applyBorder="1"/>
    <xf numFmtId="0" fontId="10" fillId="0" borderId="72" xfId="0" applyFont="1" applyFill="1" applyBorder="1"/>
    <xf numFmtId="0" fontId="11" fillId="0" borderId="72" xfId="0" applyFont="1" applyFill="1" applyBorder="1" applyAlignment="1">
      <alignment horizontal="left" vertical="center"/>
    </xf>
    <xf numFmtId="4" fontId="11" fillId="0" borderId="72" xfId="0" applyNumberFormat="1" applyFont="1" applyFill="1" applyBorder="1" applyAlignment="1">
      <alignment horizontal="right" vertical="center"/>
    </xf>
    <xf numFmtId="0" fontId="10" fillId="0" borderId="77" xfId="0" applyFont="1" applyFill="1" applyBorder="1"/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8" fillId="0" borderId="32" xfId="0" applyFont="1" applyBorder="1" applyAlignment="1">
      <alignment horizontal="left" vertical="center"/>
    </xf>
    <xf numFmtId="0" fontId="8" fillId="0" borderId="30" xfId="0" applyFont="1" applyBorder="1" applyAlignment="1">
      <alignment horizontal="left" vertical="center"/>
    </xf>
    <xf numFmtId="0" fontId="8" fillId="0" borderId="31" xfId="0" applyFont="1" applyBorder="1" applyAlignment="1">
      <alignment horizontal="left" vertical="center"/>
    </xf>
    <xf numFmtId="0" fontId="8" fillId="0" borderId="35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34" xfId="0" applyFont="1" applyBorder="1" applyAlignment="1">
      <alignment horizontal="left" vertical="center"/>
    </xf>
    <xf numFmtId="0" fontId="8" fillId="0" borderId="39" xfId="0" applyFont="1" applyBorder="1" applyAlignment="1">
      <alignment horizontal="left" vertical="center"/>
    </xf>
    <xf numFmtId="0" fontId="8" fillId="0" borderId="37" xfId="0" applyFont="1" applyBorder="1" applyAlignment="1">
      <alignment horizontal="left" vertical="center"/>
    </xf>
    <xf numFmtId="0" fontId="8" fillId="0" borderId="38" xfId="0" applyFont="1" applyBorder="1" applyAlignment="1">
      <alignment horizontal="left" vertical="center"/>
    </xf>
    <xf numFmtId="0" fontId="8" fillId="0" borderId="29" xfId="0" applyFont="1" applyBorder="1" applyAlignment="1">
      <alignment horizontal="left" vertical="center"/>
    </xf>
    <xf numFmtId="0" fontId="8" fillId="0" borderId="33" xfId="0" applyFont="1" applyBorder="1" applyAlignment="1">
      <alignment horizontal="left" vertical="center"/>
    </xf>
    <xf numFmtId="0" fontId="8" fillId="0" borderId="36" xfId="0" applyFont="1" applyBorder="1" applyAlignment="1">
      <alignment horizontal="left" vertical="center"/>
    </xf>
    <xf numFmtId="0" fontId="7" fillId="0" borderId="20" xfId="0" applyFont="1" applyBorder="1" applyAlignment="1">
      <alignment horizontal="left" vertical="center"/>
    </xf>
    <xf numFmtId="0" fontId="7" fillId="0" borderId="18" xfId="0" applyFont="1" applyBorder="1" applyAlignment="1">
      <alignment horizontal="left" vertical="center"/>
    </xf>
    <xf numFmtId="0" fontId="7" fillId="2" borderId="25" xfId="0" applyFont="1" applyFill="1" applyBorder="1" applyAlignment="1">
      <alignment horizontal="left" vertical="center"/>
    </xf>
    <xf numFmtId="0" fontId="7" fillId="2" borderId="27" xfId="0" applyFont="1" applyFill="1" applyBorder="1" applyAlignment="1">
      <alignment horizontal="left" vertical="center"/>
    </xf>
    <xf numFmtId="0" fontId="7" fillId="2" borderId="20" xfId="0" applyFont="1" applyFill="1" applyBorder="1" applyAlignment="1">
      <alignment horizontal="left" vertical="center"/>
    </xf>
    <xf numFmtId="0" fontId="7" fillId="2" borderId="28" xfId="0" applyFont="1" applyFill="1" applyBorder="1" applyAlignment="1">
      <alignment horizontal="left" vertical="center"/>
    </xf>
    <xf numFmtId="0" fontId="7" fillId="2" borderId="12" xfId="0" applyFont="1" applyFill="1" applyBorder="1" applyAlignment="1">
      <alignment horizontal="left" vertical="center"/>
    </xf>
    <xf numFmtId="0" fontId="7" fillId="2" borderId="17" xfId="0" applyFont="1" applyFill="1" applyBorder="1" applyAlignment="1">
      <alignment horizontal="left" vertical="center"/>
    </xf>
    <xf numFmtId="0" fontId="8" fillId="0" borderId="17" xfId="0" applyFont="1" applyBorder="1" applyAlignment="1">
      <alignment horizontal="left" vertical="center"/>
    </xf>
    <xf numFmtId="0" fontId="8" fillId="0" borderId="18" xfId="0" applyFont="1" applyBorder="1" applyAlignment="1">
      <alignment horizontal="left" vertical="center"/>
    </xf>
    <xf numFmtId="0" fontId="8" fillId="0" borderId="24" xfId="0" applyFont="1" applyBorder="1" applyAlignment="1">
      <alignment horizontal="left" vertical="center"/>
    </xf>
    <xf numFmtId="0" fontId="8" fillId="0" borderId="22" xfId="0" applyFont="1" applyBorder="1" applyAlignment="1">
      <alignment horizontal="left" vertical="center"/>
    </xf>
    <xf numFmtId="0" fontId="7" fillId="0" borderId="12" xfId="0" applyFont="1" applyBorder="1" applyAlignment="1">
      <alignment horizontal="left" vertical="center"/>
    </xf>
    <xf numFmtId="0" fontId="7" fillId="0" borderId="13" xfId="0" applyFont="1" applyBorder="1" applyAlignment="1">
      <alignment horizontal="left" vertical="center"/>
    </xf>
    <xf numFmtId="0" fontId="7" fillId="0" borderId="17" xfId="0" applyFont="1" applyBorder="1" applyAlignment="1">
      <alignment horizontal="left" vertical="center"/>
    </xf>
    <xf numFmtId="0" fontId="7" fillId="0" borderId="21" xfId="0" applyFont="1" applyBorder="1" applyAlignment="1">
      <alignment horizontal="left" vertical="center"/>
    </xf>
    <xf numFmtId="0" fontId="7" fillId="0" borderId="22" xfId="0" applyFont="1" applyBorder="1" applyAlignment="1">
      <alignment horizontal="left" vertical="center"/>
    </xf>
    <xf numFmtId="0" fontId="7" fillId="0" borderId="2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/>
    </xf>
    <xf numFmtId="0" fontId="4" fillId="0" borderId="10" xfId="0" applyFont="1" applyBorder="1" applyAlignment="1">
      <alignment horizontal="center" vertical="center"/>
    </xf>
    <xf numFmtId="0" fontId="6" fillId="0" borderId="12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1" fontId="2" fillId="0" borderId="6" xfId="0" applyNumberFormat="1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50" xfId="0" applyFont="1" applyBorder="1" applyAlignment="1">
      <alignment horizontal="left" vertical="center"/>
    </xf>
    <xf numFmtId="0" fontId="3" fillId="0" borderId="51" xfId="0" applyFont="1" applyBorder="1" applyAlignment="1">
      <alignment horizontal="left" vertical="center"/>
    </xf>
    <xf numFmtId="0" fontId="3" fillId="0" borderId="52" xfId="0" applyFont="1" applyBorder="1" applyAlignment="1">
      <alignment horizontal="left" vertical="center"/>
    </xf>
    <xf numFmtId="0" fontId="7" fillId="0" borderId="50" xfId="0" applyFont="1" applyBorder="1" applyAlignment="1">
      <alignment horizontal="left" vertical="center"/>
    </xf>
    <xf numFmtId="0" fontId="7" fillId="0" borderId="51" xfId="0" applyFont="1" applyBorder="1" applyAlignment="1">
      <alignment horizontal="left" vertical="center"/>
    </xf>
    <xf numFmtId="0" fontId="7" fillId="0" borderId="52" xfId="0" applyFont="1" applyBorder="1" applyAlignment="1">
      <alignment horizontal="left" vertical="center"/>
    </xf>
    <xf numFmtId="4" fontId="7" fillId="0" borderId="54" xfId="0" applyNumberFormat="1" applyFont="1" applyBorder="1" applyAlignment="1">
      <alignment horizontal="right" vertical="center"/>
    </xf>
    <xf numFmtId="0" fontId="7" fillId="0" borderId="51" xfId="0" applyFont="1" applyBorder="1" applyAlignment="1">
      <alignment horizontal="right" vertical="center"/>
    </xf>
    <xf numFmtId="0" fontId="7" fillId="0" borderId="52" xfId="0" applyFont="1" applyBorder="1" applyAlignment="1">
      <alignment horizontal="right" vertical="center"/>
    </xf>
    <xf numFmtId="0" fontId="7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3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2" fillId="0" borderId="46" xfId="0" applyFont="1" applyBorder="1" applyAlignment="1">
      <alignment horizontal="left" vertical="center"/>
    </xf>
    <xf numFmtId="0" fontId="2" fillId="0" borderId="47" xfId="0" applyFont="1" applyBorder="1" applyAlignment="1">
      <alignment horizontal="left" vertical="center"/>
    </xf>
    <xf numFmtId="0" fontId="2" fillId="0" borderId="48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2" fillId="0" borderId="28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3" fillId="0" borderId="72" xfId="0" applyFont="1" applyBorder="1" applyAlignment="1">
      <alignment horizontal="left" vertical="center"/>
    </xf>
    <xf numFmtId="0" fontId="2" fillId="4" borderId="72" xfId="0" applyFont="1" applyFill="1" applyBorder="1" applyAlignment="1">
      <alignment horizontal="left" vertical="center" wrapText="1"/>
    </xf>
    <xf numFmtId="0" fontId="2" fillId="4" borderId="72" xfId="0" applyFont="1" applyFill="1" applyBorder="1" applyAlignment="1">
      <alignment horizontal="left" vertical="center"/>
    </xf>
    <xf numFmtId="0" fontId="2" fillId="0" borderId="72" xfId="0" applyFont="1" applyBorder="1" applyAlignment="1">
      <alignment horizontal="left" vertical="center" wrapText="1"/>
    </xf>
    <xf numFmtId="0" fontId="2" fillId="0" borderId="72" xfId="0" applyFont="1" applyBorder="1" applyAlignment="1">
      <alignment horizontal="left" vertical="center"/>
    </xf>
    <xf numFmtId="0" fontId="3" fillId="3" borderId="72" xfId="0" applyFont="1" applyFill="1" applyBorder="1" applyAlignment="1">
      <alignment horizontal="left" vertical="center" wrapText="1"/>
    </xf>
    <xf numFmtId="0" fontId="3" fillId="3" borderId="72" xfId="0" applyFont="1" applyFill="1" applyBorder="1" applyAlignment="1">
      <alignment horizontal="left" vertical="center"/>
    </xf>
    <xf numFmtId="0" fontId="2" fillId="0" borderId="72" xfId="0" applyFont="1" applyFill="1" applyBorder="1" applyAlignment="1">
      <alignment horizontal="left" vertical="center" wrapText="1"/>
    </xf>
    <xf numFmtId="0" fontId="2" fillId="0" borderId="72" xfId="0" applyFont="1" applyFill="1" applyBorder="1" applyAlignment="1">
      <alignment horizontal="left" vertical="center"/>
    </xf>
    <xf numFmtId="0" fontId="3" fillId="0" borderId="65" xfId="0" applyFont="1" applyBorder="1" applyAlignment="1">
      <alignment horizontal="left" vertical="center"/>
    </xf>
    <xf numFmtId="0" fontId="3" fillId="0" borderId="66" xfId="0" applyFont="1" applyBorder="1" applyAlignment="1">
      <alignment horizontal="left" vertical="center"/>
    </xf>
    <xf numFmtId="0" fontId="3" fillId="0" borderId="42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3" fillId="3" borderId="74" xfId="0" applyFont="1" applyFill="1" applyBorder="1" applyAlignment="1">
      <alignment horizontal="left" vertical="center" wrapText="1"/>
    </xf>
    <xf numFmtId="0" fontId="3" fillId="3" borderId="74" xfId="0" applyFont="1" applyFill="1" applyBorder="1" applyAlignment="1">
      <alignment horizontal="left" vertical="center"/>
    </xf>
    <xf numFmtId="0" fontId="3" fillId="0" borderId="59" xfId="0" applyFont="1" applyBorder="1" applyAlignment="1">
      <alignment horizontal="left" vertical="center"/>
    </xf>
    <xf numFmtId="0" fontId="3" fillId="0" borderId="60" xfId="0" applyFont="1" applyBorder="1" applyAlignment="1">
      <alignment horizontal="left" vertical="center"/>
    </xf>
    <xf numFmtId="0" fontId="2" fillId="0" borderId="55" xfId="0" applyFont="1" applyBorder="1" applyAlignment="1">
      <alignment horizontal="left" vertical="center"/>
    </xf>
    <xf numFmtId="0" fontId="2" fillId="0" borderId="41" xfId="0" applyFont="1" applyBorder="1" applyAlignment="1">
      <alignment horizontal="left" vertical="center"/>
    </xf>
    <xf numFmtId="0" fontId="2" fillId="0" borderId="56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1" defaultTableStyle="TableStyleMedium2" defaultPivotStyle="PivotStyleLight16">
    <tableStyle name="Invisible" pivot="0" table="0" count="0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7"/>
  <sheetViews>
    <sheetView topLeftCell="A4" workbookViewId="0">
      <selection activeCell="A37" sqref="A37:I37"/>
    </sheetView>
  </sheetViews>
  <sheetFormatPr defaultColWidth="12.140625" defaultRowHeight="15" customHeight="1" x14ac:dyDescent="0.25"/>
  <cols>
    <col min="1" max="1" width="9.140625" customWidth="1"/>
    <col min="2" max="2" width="12.85546875" customWidth="1"/>
    <col min="3" max="3" width="27.140625" customWidth="1"/>
    <col min="4" max="4" width="10" customWidth="1"/>
    <col min="5" max="5" width="14" customWidth="1"/>
    <col min="6" max="6" width="27.140625" customWidth="1"/>
    <col min="7" max="7" width="9.140625" customWidth="1"/>
    <col min="8" max="8" width="12.85546875" customWidth="1"/>
    <col min="9" max="9" width="27.140625" customWidth="1"/>
  </cols>
  <sheetData>
    <row r="1" spans="1:9" ht="54.75" customHeight="1" x14ac:dyDescent="0.25">
      <c r="A1" s="126" t="s">
        <v>0</v>
      </c>
      <c r="B1" s="127"/>
      <c r="C1" s="127"/>
      <c r="D1" s="127"/>
      <c r="E1" s="127"/>
      <c r="F1" s="127"/>
      <c r="G1" s="127"/>
      <c r="H1" s="127"/>
      <c r="I1" s="127"/>
    </row>
    <row r="2" spans="1:9" x14ac:dyDescent="0.25">
      <c r="A2" s="128" t="s">
        <v>1</v>
      </c>
      <c r="B2" s="129"/>
      <c r="C2" s="134" t="str">
        <f>'Stavební rozpočet'!C2</f>
        <v>Rekonstrukce výměníkové stanice- Nerudova 7</v>
      </c>
      <c r="D2" s="135"/>
      <c r="E2" s="125" t="s">
        <v>2</v>
      </c>
      <c r="F2" s="125" t="str">
        <f>'Stavební rozpočet'!I2</f>
        <v> </v>
      </c>
      <c r="G2" s="129"/>
      <c r="H2" s="125" t="s">
        <v>3</v>
      </c>
      <c r="I2" s="131" t="s">
        <v>4</v>
      </c>
    </row>
    <row r="3" spans="1:9" ht="15" customHeight="1" x14ac:dyDescent="0.25">
      <c r="A3" s="130"/>
      <c r="B3" s="86"/>
      <c r="C3" s="136"/>
      <c r="D3" s="136"/>
      <c r="E3" s="86"/>
      <c r="F3" s="86"/>
      <c r="G3" s="86"/>
      <c r="H3" s="86"/>
      <c r="I3" s="132"/>
    </row>
    <row r="4" spans="1:9" x14ac:dyDescent="0.25">
      <c r="A4" s="123" t="s">
        <v>5</v>
      </c>
      <c r="B4" s="86"/>
      <c r="C4" s="85" t="str">
        <f>'Stavební rozpočet'!C4</f>
        <v>D.1.4.1- Vytápění</v>
      </c>
      <c r="D4" s="86"/>
      <c r="E4" s="85" t="s">
        <v>6</v>
      </c>
      <c r="F4" s="85" t="str">
        <f>'Stavební rozpočet'!I4</f>
        <v>Ing. Lukáš Něčas</v>
      </c>
      <c r="G4" s="86"/>
      <c r="H4" s="85" t="s">
        <v>3</v>
      </c>
      <c r="I4" s="132" t="s">
        <v>4</v>
      </c>
    </row>
    <row r="5" spans="1:9" ht="15" customHeight="1" x14ac:dyDescent="0.25">
      <c r="A5" s="130"/>
      <c r="B5" s="86"/>
      <c r="C5" s="86"/>
      <c r="D5" s="86"/>
      <c r="E5" s="86"/>
      <c r="F5" s="86"/>
      <c r="G5" s="86"/>
      <c r="H5" s="86"/>
      <c r="I5" s="132"/>
    </row>
    <row r="6" spans="1:9" x14ac:dyDescent="0.25">
      <c r="A6" s="123" t="s">
        <v>7</v>
      </c>
      <c r="B6" s="86"/>
      <c r="C6" s="85" t="str">
        <f>'Stavební rozpočet'!C6</f>
        <v>Nerudova 305/7, 741 01, Nový Jičín</v>
      </c>
      <c r="D6" s="86"/>
      <c r="E6" s="85" t="s">
        <v>8</v>
      </c>
      <c r="F6" s="85" t="str">
        <f>'Stavební rozpočet'!I6</f>
        <v>-</v>
      </c>
      <c r="G6" s="86"/>
      <c r="H6" s="85" t="s">
        <v>3</v>
      </c>
      <c r="I6" s="132" t="s">
        <v>9</v>
      </c>
    </row>
    <row r="7" spans="1:9" ht="15" customHeight="1" x14ac:dyDescent="0.25">
      <c r="A7" s="130"/>
      <c r="B7" s="86"/>
      <c r="C7" s="86"/>
      <c r="D7" s="86"/>
      <c r="E7" s="86"/>
      <c r="F7" s="86"/>
      <c r="G7" s="86"/>
      <c r="H7" s="86"/>
      <c r="I7" s="132"/>
    </row>
    <row r="8" spans="1:9" x14ac:dyDescent="0.25">
      <c r="A8" s="123" t="s">
        <v>10</v>
      </c>
      <c r="B8" s="86"/>
      <c r="C8" s="85" t="str">
        <f>'Stavební rozpočet'!G4</f>
        <v xml:space="preserve"> </v>
      </c>
      <c r="D8" s="86"/>
      <c r="E8" s="85" t="s">
        <v>11</v>
      </c>
      <c r="F8" s="85" t="str">
        <f>'Stavební rozpočet'!G6</f>
        <v>31.01.2025</v>
      </c>
      <c r="G8" s="86"/>
      <c r="H8" s="86" t="s">
        <v>12</v>
      </c>
      <c r="I8" s="133">
        <v>103</v>
      </c>
    </row>
    <row r="9" spans="1:9" x14ac:dyDescent="0.25">
      <c r="A9" s="130"/>
      <c r="B9" s="86"/>
      <c r="C9" s="86"/>
      <c r="D9" s="86"/>
      <c r="E9" s="86"/>
      <c r="F9" s="86"/>
      <c r="G9" s="86"/>
      <c r="H9" s="86"/>
      <c r="I9" s="132"/>
    </row>
    <row r="10" spans="1:9" x14ac:dyDescent="0.25">
      <c r="A10" s="123" t="s">
        <v>13</v>
      </c>
      <c r="B10" s="86"/>
      <c r="C10" s="85" t="str">
        <f>'Stavební rozpočet'!C8</f>
        <v xml:space="preserve"> </v>
      </c>
      <c r="D10" s="86"/>
      <c r="E10" s="85" t="s">
        <v>14</v>
      </c>
      <c r="F10" s="85" t="str">
        <f>'Stavební rozpočet'!I8</f>
        <v>Ing. Lukáš Němec</v>
      </c>
      <c r="G10" s="86"/>
      <c r="H10" s="86" t="s">
        <v>15</v>
      </c>
      <c r="I10" s="117" t="str">
        <f>'Stavební rozpočet'!G8</f>
        <v>10.10.2024</v>
      </c>
    </row>
    <row r="11" spans="1:9" x14ac:dyDescent="0.25">
      <c r="A11" s="124"/>
      <c r="B11" s="122"/>
      <c r="C11" s="122"/>
      <c r="D11" s="122"/>
      <c r="E11" s="122"/>
      <c r="F11" s="122"/>
      <c r="G11" s="122"/>
      <c r="H11" s="122"/>
      <c r="I11" s="118"/>
    </row>
    <row r="12" spans="1:9" ht="23.25" x14ac:dyDescent="0.25">
      <c r="A12" s="119" t="s">
        <v>16</v>
      </c>
      <c r="B12" s="119"/>
      <c r="C12" s="119"/>
      <c r="D12" s="119"/>
      <c r="E12" s="119"/>
      <c r="F12" s="119"/>
      <c r="G12" s="119"/>
      <c r="H12" s="119"/>
      <c r="I12" s="119"/>
    </row>
    <row r="13" spans="1:9" ht="26.25" customHeight="1" x14ac:dyDescent="0.25">
      <c r="A13" s="2" t="s">
        <v>17</v>
      </c>
      <c r="B13" s="120" t="s">
        <v>18</v>
      </c>
      <c r="C13" s="121"/>
      <c r="D13" s="3" t="s">
        <v>19</v>
      </c>
      <c r="E13" s="120" t="s">
        <v>20</v>
      </c>
      <c r="F13" s="121"/>
      <c r="G13" s="3" t="s">
        <v>21</v>
      </c>
      <c r="H13" s="120" t="s">
        <v>22</v>
      </c>
      <c r="I13" s="121"/>
    </row>
    <row r="14" spans="1:9" ht="15.75" x14ac:dyDescent="0.25">
      <c r="A14" s="4" t="s">
        <v>23</v>
      </c>
      <c r="B14" s="5" t="s">
        <v>24</v>
      </c>
      <c r="C14" s="6">
        <f>SUM('Stavební rozpočet'!AB12:AB123)</f>
        <v>0</v>
      </c>
      <c r="D14" s="107" t="s">
        <v>25</v>
      </c>
      <c r="E14" s="108"/>
      <c r="F14" s="6">
        <f>VORN!I15</f>
        <v>0</v>
      </c>
      <c r="G14" s="107" t="s">
        <v>26</v>
      </c>
      <c r="H14" s="108"/>
      <c r="I14" s="7">
        <f>VORN!I21</f>
        <v>0</v>
      </c>
    </row>
    <row r="15" spans="1:9" ht="15.75" x14ac:dyDescent="0.25">
      <c r="A15" s="8" t="s">
        <v>4</v>
      </c>
      <c r="B15" s="5" t="s">
        <v>27</v>
      </c>
      <c r="C15" s="6">
        <f>SUM('Stavební rozpočet'!AC12:AC123)</f>
        <v>0</v>
      </c>
      <c r="D15" s="107" t="s">
        <v>28</v>
      </c>
      <c r="E15" s="108"/>
      <c r="F15" s="6">
        <f>VORN!I16</f>
        <v>0</v>
      </c>
      <c r="G15" s="107" t="s">
        <v>29</v>
      </c>
      <c r="H15" s="108"/>
      <c r="I15" s="7">
        <f>VORN!I22</f>
        <v>0</v>
      </c>
    </row>
    <row r="16" spans="1:9" ht="15.75" x14ac:dyDescent="0.25">
      <c r="A16" s="4" t="s">
        <v>30</v>
      </c>
      <c r="B16" s="5" t="s">
        <v>24</v>
      </c>
      <c r="C16" s="6">
        <f>SUM('Stavební rozpočet'!AD12:AD123)</f>
        <v>0</v>
      </c>
      <c r="D16" s="107" t="s">
        <v>31</v>
      </c>
      <c r="E16" s="108"/>
      <c r="F16" s="6">
        <f>VORN!I17</f>
        <v>0</v>
      </c>
      <c r="G16" s="107" t="s">
        <v>32</v>
      </c>
      <c r="H16" s="108"/>
      <c r="I16" s="7">
        <f>VORN!I23</f>
        <v>0</v>
      </c>
    </row>
    <row r="17" spans="1:9" ht="15.75" x14ac:dyDescent="0.25">
      <c r="A17" s="8" t="s">
        <v>4</v>
      </c>
      <c r="B17" s="5" t="s">
        <v>27</v>
      </c>
      <c r="C17" s="6">
        <f>SUM('Stavební rozpočet'!AE12:AE123)</f>
        <v>0</v>
      </c>
      <c r="D17" s="107" t="s">
        <v>4</v>
      </c>
      <c r="E17" s="108"/>
      <c r="F17" s="7" t="s">
        <v>4</v>
      </c>
      <c r="G17" s="107" t="s">
        <v>33</v>
      </c>
      <c r="H17" s="108"/>
      <c r="I17" s="7">
        <f>VORN!I24</f>
        <v>0</v>
      </c>
    </row>
    <row r="18" spans="1:9" ht="15.75" x14ac:dyDescent="0.25">
      <c r="A18" s="4" t="s">
        <v>34</v>
      </c>
      <c r="B18" s="5" t="s">
        <v>24</v>
      </c>
      <c r="C18" s="6">
        <f>SUM('Stavební rozpočet'!AF12:AF123)</f>
        <v>0</v>
      </c>
      <c r="D18" s="107" t="s">
        <v>4</v>
      </c>
      <c r="E18" s="108"/>
      <c r="F18" s="7" t="s">
        <v>4</v>
      </c>
      <c r="G18" s="107" t="s">
        <v>35</v>
      </c>
      <c r="H18" s="108"/>
      <c r="I18" s="7">
        <f>VORN!I25</f>
        <v>0</v>
      </c>
    </row>
    <row r="19" spans="1:9" ht="15.75" x14ac:dyDescent="0.25">
      <c r="A19" s="8" t="s">
        <v>4</v>
      </c>
      <c r="B19" s="5" t="s">
        <v>27</v>
      </c>
      <c r="C19" s="6">
        <f>SUM('Stavební rozpočet'!AG12:AG123)</f>
        <v>0</v>
      </c>
      <c r="D19" s="107" t="s">
        <v>4</v>
      </c>
      <c r="E19" s="108"/>
      <c r="F19" s="7" t="s">
        <v>4</v>
      </c>
      <c r="G19" s="107" t="s">
        <v>36</v>
      </c>
      <c r="H19" s="108"/>
      <c r="I19" s="7">
        <f>VORN!I26</f>
        <v>0</v>
      </c>
    </row>
    <row r="20" spans="1:9" ht="15.75" x14ac:dyDescent="0.25">
      <c r="A20" s="99" t="s">
        <v>37</v>
      </c>
      <c r="B20" s="100"/>
      <c r="C20" s="6">
        <f>SUM('Stavební rozpočet'!AH12:AH123)</f>
        <v>0</v>
      </c>
      <c r="D20" s="107" t="s">
        <v>4</v>
      </c>
      <c r="E20" s="108"/>
      <c r="F20" s="7" t="s">
        <v>4</v>
      </c>
      <c r="G20" s="107" t="s">
        <v>4</v>
      </c>
      <c r="H20" s="108"/>
      <c r="I20" s="7" t="s">
        <v>4</v>
      </c>
    </row>
    <row r="21" spans="1:9" ht="15.75" x14ac:dyDescent="0.25">
      <c r="A21" s="114" t="s">
        <v>38</v>
      </c>
      <c r="B21" s="115"/>
      <c r="C21" s="9">
        <f>SUM('Stavební rozpočet'!Z12:Z123)</f>
        <v>0</v>
      </c>
      <c r="D21" s="109" t="s">
        <v>4</v>
      </c>
      <c r="E21" s="110"/>
      <c r="F21" s="10" t="s">
        <v>4</v>
      </c>
      <c r="G21" s="109" t="s">
        <v>4</v>
      </c>
      <c r="H21" s="110"/>
      <c r="I21" s="10" t="s">
        <v>4</v>
      </c>
    </row>
    <row r="22" spans="1:9" ht="16.5" customHeight="1" x14ac:dyDescent="0.25">
      <c r="A22" s="116" t="s">
        <v>39</v>
      </c>
      <c r="B22" s="112"/>
      <c r="C22" s="11">
        <f>SUM(C14:C21)</f>
        <v>0</v>
      </c>
      <c r="D22" s="111" t="s">
        <v>40</v>
      </c>
      <c r="E22" s="112"/>
      <c r="F22" s="11">
        <f>SUM(F14:F21)</f>
        <v>0</v>
      </c>
      <c r="G22" s="111" t="s">
        <v>41</v>
      </c>
      <c r="H22" s="112"/>
      <c r="I22" s="11">
        <f>SUM(I14:I21)</f>
        <v>0</v>
      </c>
    </row>
    <row r="23" spans="1:9" ht="15.75" x14ac:dyDescent="0.25">
      <c r="D23" s="99" t="s">
        <v>42</v>
      </c>
      <c r="E23" s="100"/>
      <c r="F23" s="12">
        <v>0</v>
      </c>
      <c r="G23" s="113" t="s">
        <v>43</v>
      </c>
      <c r="H23" s="100"/>
      <c r="I23" s="6">
        <v>0</v>
      </c>
    </row>
    <row r="24" spans="1:9" ht="15.75" x14ac:dyDescent="0.25">
      <c r="G24" s="99" t="s">
        <v>44</v>
      </c>
      <c r="H24" s="100"/>
      <c r="I24" s="9">
        <f>vorn_sum</f>
        <v>0</v>
      </c>
    </row>
    <row r="25" spans="1:9" ht="15.75" x14ac:dyDescent="0.25">
      <c r="G25" s="99" t="s">
        <v>45</v>
      </c>
      <c r="H25" s="100"/>
      <c r="I25" s="11">
        <v>0</v>
      </c>
    </row>
    <row r="27" spans="1:9" ht="15.75" x14ac:dyDescent="0.25">
      <c r="A27" s="101" t="s">
        <v>46</v>
      </c>
      <c r="B27" s="102"/>
      <c r="C27" s="13">
        <f>SUM('Stavební rozpočet'!AJ12:AJ123)</f>
        <v>0</v>
      </c>
    </row>
    <row r="28" spans="1:9" ht="15.75" x14ac:dyDescent="0.25">
      <c r="A28" s="103" t="s">
        <v>47</v>
      </c>
      <c r="B28" s="104"/>
      <c r="C28" s="14">
        <f>SUM('Stavební rozpočet'!AK12:AK123)</f>
        <v>0</v>
      </c>
      <c r="D28" s="105" t="s">
        <v>48</v>
      </c>
      <c r="E28" s="102"/>
      <c r="F28" s="13">
        <f>ROUND(C28*(12/100),2)</f>
        <v>0</v>
      </c>
      <c r="G28" s="105" t="s">
        <v>49</v>
      </c>
      <c r="H28" s="102"/>
      <c r="I28" s="13">
        <f>SUM(C27:C29)</f>
        <v>0</v>
      </c>
    </row>
    <row r="29" spans="1:9" ht="15.75" x14ac:dyDescent="0.25">
      <c r="A29" s="103" t="s">
        <v>50</v>
      </c>
      <c r="B29" s="104"/>
      <c r="C29" s="14">
        <f>SUM('Stavební rozpočet'!AL12:AL123)+(F22+I22+F23+I23+I24+I25)</f>
        <v>0</v>
      </c>
      <c r="D29" s="106" t="s">
        <v>51</v>
      </c>
      <c r="E29" s="104"/>
      <c r="F29" s="14">
        <f>ROUND(C29*(21/100),2)</f>
        <v>0</v>
      </c>
      <c r="G29" s="106" t="s">
        <v>52</v>
      </c>
      <c r="H29" s="104"/>
      <c r="I29" s="14">
        <f>SUM(F28:F29)+I28</f>
        <v>0</v>
      </c>
    </row>
    <row r="31" spans="1:9" x14ac:dyDescent="0.25">
      <c r="A31" s="96" t="s">
        <v>53</v>
      </c>
      <c r="B31" s="88"/>
      <c r="C31" s="89"/>
      <c r="D31" s="87" t="s">
        <v>54</v>
      </c>
      <c r="E31" s="88"/>
      <c r="F31" s="89"/>
      <c r="G31" s="87" t="s">
        <v>55</v>
      </c>
      <c r="H31" s="88"/>
      <c r="I31" s="89"/>
    </row>
    <row r="32" spans="1:9" x14ac:dyDescent="0.25">
      <c r="A32" s="97" t="s">
        <v>4</v>
      </c>
      <c r="B32" s="91"/>
      <c r="C32" s="92"/>
      <c r="D32" s="90" t="s">
        <v>4</v>
      </c>
      <c r="E32" s="91"/>
      <c r="F32" s="92"/>
      <c r="G32" s="90" t="s">
        <v>4</v>
      </c>
      <c r="H32" s="91"/>
      <c r="I32" s="92"/>
    </row>
    <row r="33" spans="1:9" x14ac:dyDescent="0.25">
      <c r="A33" s="97" t="s">
        <v>4</v>
      </c>
      <c r="B33" s="91"/>
      <c r="C33" s="92"/>
      <c r="D33" s="90" t="s">
        <v>4</v>
      </c>
      <c r="E33" s="91"/>
      <c r="F33" s="92"/>
      <c r="G33" s="90" t="s">
        <v>4</v>
      </c>
      <c r="H33" s="91"/>
      <c r="I33" s="92"/>
    </row>
    <row r="34" spans="1:9" x14ac:dyDescent="0.25">
      <c r="A34" s="97" t="s">
        <v>4</v>
      </c>
      <c r="B34" s="91"/>
      <c r="C34" s="92"/>
      <c r="D34" s="90" t="s">
        <v>4</v>
      </c>
      <c r="E34" s="91"/>
      <c r="F34" s="92"/>
      <c r="G34" s="90" t="s">
        <v>4</v>
      </c>
      <c r="H34" s="91"/>
      <c r="I34" s="92"/>
    </row>
    <row r="35" spans="1:9" x14ac:dyDescent="0.25">
      <c r="A35" s="98" t="s">
        <v>56</v>
      </c>
      <c r="B35" s="94"/>
      <c r="C35" s="95"/>
      <c r="D35" s="93" t="s">
        <v>56</v>
      </c>
      <c r="E35" s="94"/>
      <c r="F35" s="95"/>
      <c r="G35" s="93" t="s">
        <v>56</v>
      </c>
      <c r="H35" s="94"/>
      <c r="I35" s="95"/>
    </row>
    <row r="36" spans="1:9" x14ac:dyDescent="0.25">
      <c r="A36" s="15" t="s">
        <v>57</v>
      </c>
    </row>
    <row r="37" spans="1:9" ht="121.5" customHeight="1" x14ac:dyDescent="0.25">
      <c r="A37" s="85" t="s">
        <v>58</v>
      </c>
      <c r="B37" s="86"/>
      <c r="C37" s="86"/>
      <c r="D37" s="86"/>
      <c r="E37" s="86"/>
      <c r="F37" s="86"/>
      <c r="G37" s="86"/>
      <c r="H37" s="86"/>
      <c r="I37" s="86"/>
    </row>
  </sheetData>
  <mergeCells count="83">
    <mergeCell ref="A1:I1"/>
    <mergeCell ref="A2:B3"/>
    <mergeCell ref="A4:B5"/>
    <mergeCell ref="A6:B7"/>
    <mergeCell ref="A8:B9"/>
    <mergeCell ref="F2:G3"/>
    <mergeCell ref="F4:G5"/>
    <mergeCell ref="F6:G7"/>
    <mergeCell ref="F8:G9"/>
    <mergeCell ref="I2:I3"/>
    <mergeCell ref="I4:I5"/>
    <mergeCell ref="I6:I7"/>
    <mergeCell ref="I8:I9"/>
    <mergeCell ref="C2:D3"/>
    <mergeCell ref="C4:D5"/>
    <mergeCell ref="C6:D7"/>
    <mergeCell ref="C8:D9"/>
    <mergeCell ref="C10:D11"/>
    <mergeCell ref="E2:E3"/>
    <mergeCell ref="E4:E5"/>
    <mergeCell ref="E6:E7"/>
    <mergeCell ref="E8:E9"/>
    <mergeCell ref="E10:E11"/>
    <mergeCell ref="H2:H3"/>
    <mergeCell ref="H4:H5"/>
    <mergeCell ref="H6:H7"/>
    <mergeCell ref="H8:H9"/>
    <mergeCell ref="H10:H11"/>
    <mergeCell ref="I10:I11"/>
    <mergeCell ref="A12:I12"/>
    <mergeCell ref="B13:C13"/>
    <mergeCell ref="E13:F13"/>
    <mergeCell ref="H13:I13"/>
    <mergeCell ref="F10:G11"/>
    <mergeCell ref="A10:B11"/>
    <mergeCell ref="A20:B20"/>
    <mergeCell ref="A21:B21"/>
    <mergeCell ref="A22:B22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A27:B27"/>
    <mergeCell ref="A28:B28"/>
    <mergeCell ref="A29:B29"/>
    <mergeCell ref="D28:E28"/>
    <mergeCell ref="D29:E29"/>
    <mergeCell ref="G28:H28"/>
    <mergeCell ref="G29:H29"/>
    <mergeCell ref="A37:I37"/>
    <mergeCell ref="G31:I31"/>
    <mergeCell ref="G32:I32"/>
    <mergeCell ref="G33:I33"/>
    <mergeCell ref="G34:I34"/>
    <mergeCell ref="G35:I35"/>
    <mergeCell ref="D31:F31"/>
    <mergeCell ref="D32:F32"/>
    <mergeCell ref="D33:F33"/>
    <mergeCell ref="D34:F34"/>
    <mergeCell ref="D35:F35"/>
    <mergeCell ref="A31:C31"/>
    <mergeCell ref="A32:C32"/>
    <mergeCell ref="A33:C33"/>
    <mergeCell ref="A34:C34"/>
    <mergeCell ref="A35:C35"/>
  </mergeCells>
  <pageMargins left="0.393999993801117" right="0.393999993801117" top="0.59100002050399802" bottom="0.59100002050399802" header="0" footer="0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6"/>
  <sheetViews>
    <sheetView workbookViewId="0">
      <selection activeCell="A36" sqref="A36:E36"/>
    </sheetView>
  </sheetViews>
  <sheetFormatPr defaultColWidth="12.140625" defaultRowHeight="15" customHeight="1" x14ac:dyDescent="0.25"/>
  <cols>
    <col min="1" max="1" width="9.140625" customWidth="1"/>
    <col min="2" max="2" width="12.85546875" customWidth="1"/>
    <col min="3" max="3" width="22.85546875" customWidth="1"/>
    <col min="4" max="4" width="10" customWidth="1"/>
    <col min="5" max="5" width="14" customWidth="1"/>
    <col min="6" max="6" width="22.85546875" customWidth="1"/>
    <col min="7" max="7" width="9.140625" customWidth="1"/>
    <col min="8" max="8" width="17.140625" customWidth="1"/>
    <col min="9" max="9" width="22.85546875" customWidth="1"/>
  </cols>
  <sheetData>
    <row r="1" spans="1:9" ht="54.75" customHeight="1" x14ac:dyDescent="0.25">
      <c r="A1" s="126" t="s">
        <v>59</v>
      </c>
      <c r="B1" s="127"/>
      <c r="C1" s="127"/>
      <c r="D1" s="127"/>
      <c r="E1" s="127"/>
      <c r="F1" s="127"/>
      <c r="G1" s="127"/>
      <c r="H1" s="127"/>
      <c r="I1" s="127"/>
    </row>
    <row r="2" spans="1:9" x14ac:dyDescent="0.25">
      <c r="A2" s="128" t="s">
        <v>1</v>
      </c>
      <c r="B2" s="129"/>
      <c r="C2" s="134" t="str">
        <f>'Stavební rozpočet'!C2</f>
        <v>Rekonstrukce výměníkové stanice- Nerudova 7</v>
      </c>
      <c r="D2" s="135"/>
      <c r="E2" s="125" t="s">
        <v>2</v>
      </c>
      <c r="F2" s="125" t="str">
        <f>'Stavební rozpočet'!I2</f>
        <v> </v>
      </c>
      <c r="G2" s="129"/>
      <c r="H2" s="125" t="s">
        <v>3</v>
      </c>
      <c r="I2" s="131" t="s">
        <v>4</v>
      </c>
    </row>
    <row r="3" spans="1:9" ht="15" customHeight="1" x14ac:dyDescent="0.25">
      <c r="A3" s="130"/>
      <c r="B3" s="86"/>
      <c r="C3" s="136"/>
      <c r="D3" s="136"/>
      <c r="E3" s="86"/>
      <c r="F3" s="86"/>
      <c r="G3" s="86"/>
      <c r="H3" s="86"/>
      <c r="I3" s="132"/>
    </row>
    <row r="4" spans="1:9" x14ac:dyDescent="0.25">
      <c r="A4" s="123" t="s">
        <v>5</v>
      </c>
      <c r="B4" s="86"/>
      <c r="C4" s="85" t="str">
        <f>'Stavební rozpočet'!C4</f>
        <v>D.1.4.1- Vytápění</v>
      </c>
      <c r="D4" s="86"/>
      <c r="E4" s="85" t="s">
        <v>6</v>
      </c>
      <c r="F4" s="85" t="str">
        <f>'Stavební rozpočet'!I4</f>
        <v>Ing. Lukáš Něčas</v>
      </c>
      <c r="G4" s="86"/>
      <c r="H4" s="85" t="s">
        <v>3</v>
      </c>
      <c r="I4" s="132" t="s">
        <v>4</v>
      </c>
    </row>
    <row r="5" spans="1:9" ht="15" customHeight="1" x14ac:dyDescent="0.25">
      <c r="A5" s="130"/>
      <c r="B5" s="86"/>
      <c r="C5" s="86"/>
      <c r="D5" s="86"/>
      <c r="E5" s="86"/>
      <c r="F5" s="86"/>
      <c r="G5" s="86"/>
      <c r="H5" s="86"/>
      <c r="I5" s="132"/>
    </row>
    <row r="6" spans="1:9" x14ac:dyDescent="0.25">
      <c r="A6" s="123" t="s">
        <v>7</v>
      </c>
      <c r="B6" s="86"/>
      <c r="C6" s="85" t="str">
        <f>'Stavební rozpočet'!C6</f>
        <v>Nerudova 305/7, 741 01, Nový Jičín</v>
      </c>
      <c r="D6" s="86"/>
      <c r="E6" s="85" t="s">
        <v>8</v>
      </c>
      <c r="F6" s="85" t="str">
        <f>'Stavební rozpočet'!I6</f>
        <v>-</v>
      </c>
      <c r="G6" s="86"/>
      <c r="H6" s="85" t="s">
        <v>3</v>
      </c>
      <c r="I6" s="132" t="s">
        <v>9</v>
      </c>
    </row>
    <row r="7" spans="1:9" ht="15" customHeight="1" x14ac:dyDescent="0.25">
      <c r="A7" s="130"/>
      <c r="B7" s="86"/>
      <c r="C7" s="86"/>
      <c r="D7" s="86"/>
      <c r="E7" s="86"/>
      <c r="F7" s="86"/>
      <c r="G7" s="86"/>
      <c r="H7" s="86"/>
      <c r="I7" s="132"/>
    </row>
    <row r="8" spans="1:9" x14ac:dyDescent="0.25">
      <c r="A8" s="123" t="s">
        <v>10</v>
      </c>
      <c r="B8" s="86"/>
      <c r="C8" s="85" t="str">
        <f>'Stavební rozpočet'!G4</f>
        <v xml:space="preserve"> </v>
      </c>
      <c r="D8" s="86"/>
      <c r="E8" s="85" t="s">
        <v>11</v>
      </c>
      <c r="F8" s="85" t="str">
        <f>'Stavební rozpočet'!G6</f>
        <v>31.01.2025</v>
      </c>
      <c r="G8" s="86"/>
      <c r="H8" s="86" t="s">
        <v>12</v>
      </c>
      <c r="I8" s="133">
        <v>103</v>
      </c>
    </row>
    <row r="9" spans="1:9" x14ac:dyDescent="0.25">
      <c r="A9" s="130"/>
      <c r="B9" s="86"/>
      <c r="C9" s="86"/>
      <c r="D9" s="86"/>
      <c r="E9" s="86"/>
      <c r="F9" s="86"/>
      <c r="G9" s="86"/>
      <c r="H9" s="86"/>
      <c r="I9" s="132"/>
    </row>
    <row r="10" spans="1:9" x14ac:dyDescent="0.25">
      <c r="A10" s="123" t="s">
        <v>13</v>
      </c>
      <c r="B10" s="86"/>
      <c r="C10" s="85" t="str">
        <f>'Stavební rozpočet'!C8</f>
        <v xml:space="preserve"> </v>
      </c>
      <c r="D10" s="86"/>
      <c r="E10" s="85" t="s">
        <v>14</v>
      </c>
      <c r="F10" s="85" t="str">
        <f>'Stavební rozpočet'!I8</f>
        <v>Ing. Lukáš Němec</v>
      </c>
      <c r="G10" s="86"/>
      <c r="H10" s="86" t="s">
        <v>15</v>
      </c>
      <c r="I10" s="117" t="str">
        <f>'Stavební rozpočet'!G8</f>
        <v>10.10.2024</v>
      </c>
    </row>
    <row r="11" spans="1:9" x14ac:dyDescent="0.25">
      <c r="A11" s="124"/>
      <c r="B11" s="122"/>
      <c r="C11" s="122"/>
      <c r="D11" s="122"/>
      <c r="E11" s="122"/>
      <c r="F11" s="122"/>
      <c r="G11" s="122"/>
      <c r="H11" s="122"/>
      <c r="I11" s="118"/>
    </row>
    <row r="13" spans="1:9" ht="15.75" x14ac:dyDescent="0.25">
      <c r="A13" s="146" t="s">
        <v>60</v>
      </c>
      <c r="B13" s="146"/>
      <c r="C13" s="146"/>
      <c r="D13" s="146"/>
      <c r="E13" s="146"/>
    </row>
    <row r="14" spans="1:9" x14ac:dyDescent="0.25">
      <c r="A14" s="147" t="s">
        <v>61</v>
      </c>
      <c r="B14" s="148"/>
      <c r="C14" s="148"/>
      <c r="D14" s="148"/>
      <c r="E14" s="149"/>
      <c r="F14" s="16" t="s">
        <v>62</v>
      </c>
      <c r="G14" s="16" t="s">
        <v>63</v>
      </c>
      <c r="H14" s="16" t="s">
        <v>64</v>
      </c>
      <c r="I14" s="16" t="s">
        <v>62</v>
      </c>
    </row>
    <row r="15" spans="1:9" x14ac:dyDescent="0.25">
      <c r="A15" s="153" t="s">
        <v>25</v>
      </c>
      <c r="B15" s="154"/>
      <c r="C15" s="154"/>
      <c r="D15" s="154"/>
      <c r="E15" s="155"/>
      <c r="F15" s="17">
        <v>0</v>
      </c>
      <c r="G15" s="18" t="s">
        <v>4</v>
      </c>
      <c r="H15" s="18" t="s">
        <v>4</v>
      </c>
      <c r="I15" s="17">
        <f>F15</f>
        <v>0</v>
      </c>
    </row>
    <row r="16" spans="1:9" x14ac:dyDescent="0.25">
      <c r="A16" s="153" t="s">
        <v>28</v>
      </c>
      <c r="B16" s="154"/>
      <c r="C16" s="154"/>
      <c r="D16" s="154"/>
      <c r="E16" s="155"/>
      <c r="F16" s="17">
        <v>0</v>
      </c>
      <c r="G16" s="18" t="s">
        <v>4</v>
      </c>
      <c r="H16" s="18" t="s">
        <v>4</v>
      </c>
      <c r="I16" s="17">
        <f>F16</f>
        <v>0</v>
      </c>
    </row>
    <row r="17" spans="1:9" x14ac:dyDescent="0.25">
      <c r="A17" s="150" t="s">
        <v>31</v>
      </c>
      <c r="B17" s="151"/>
      <c r="C17" s="151"/>
      <c r="D17" s="151"/>
      <c r="E17" s="152"/>
      <c r="F17" s="19">
        <v>0</v>
      </c>
      <c r="G17" s="20" t="s">
        <v>4</v>
      </c>
      <c r="H17" s="20" t="s">
        <v>4</v>
      </c>
      <c r="I17" s="19">
        <f>F17</f>
        <v>0</v>
      </c>
    </row>
    <row r="18" spans="1:9" x14ac:dyDescent="0.25">
      <c r="A18" s="137" t="s">
        <v>65</v>
      </c>
      <c r="B18" s="138"/>
      <c r="C18" s="138"/>
      <c r="D18" s="138"/>
      <c r="E18" s="139"/>
      <c r="F18" s="21" t="s">
        <v>4</v>
      </c>
      <c r="G18" s="22" t="s">
        <v>4</v>
      </c>
      <c r="H18" s="22" t="s">
        <v>4</v>
      </c>
      <c r="I18" s="23">
        <f>SUM(I15:I17)</f>
        <v>0</v>
      </c>
    </row>
    <row r="20" spans="1:9" x14ac:dyDescent="0.25">
      <c r="A20" s="147" t="s">
        <v>22</v>
      </c>
      <c r="B20" s="148"/>
      <c r="C20" s="148"/>
      <c r="D20" s="148"/>
      <c r="E20" s="149"/>
      <c r="F20" s="16" t="s">
        <v>62</v>
      </c>
      <c r="G20" s="16" t="s">
        <v>63</v>
      </c>
      <c r="H20" s="16" t="s">
        <v>64</v>
      </c>
      <c r="I20" s="16" t="s">
        <v>62</v>
      </c>
    </row>
    <row r="21" spans="1:9" x14ac:dyDescent="0.25">
      <c r="A21" s="153" t="s">
        <v>26</v>
      </c>
      <c r="B21" s="154"/>
      <c r="C21" s="154"/>
      <c r="D21" s="154"/>
      <c r="E21" s="155"/>
      <c r="F21" s="17">
        <v>0</v>
      </c>
      <c r="G21" s="18" t="s">
        <v>4</v>
      </c>
      <c r="H21" s="18" t="s">
        <v>4</v>
      </c>
      <c r="I21" s="17">
        <f t="shared" ref="I21:I26" si="0">F21</f>
        <v>0</v>
      </c>
    </row>
    <row r="22" spans="1:9" x14ac:dyDescent="0.25">
      <c r="A22" s="153" t="s">
        <v>29</v>
      </c>
      <c r="B22" s="154"/>
      <c r="C22" s="154"/>
      <c r="D22" s="154"/>
      <c r="E22" s="155"/>
      <c r="F22" s="17">
        <v>0</v>
      </c>
      <c r="G22" s="18" t="s">
        <v>4</v>
      </c>
      <c r="H22" s="18" t="s">
        <v>4</v>
      </c>
      <c r="I22" s="17">
        <f t="shared" si="0"/>
        <v>0</v>
      </c>
    </row>
    <row r="23" spans="1:9" x14ac:dyDescent="0.25">
      <c r="A23" s="153" t="s">
        <v>32</v>
      </c>
      <c r="B23" s="154"/>
      <c r="C23" s="154"/>
      <c r="D23" s="154"/>
      <c r="E23" s="155"/>
      <c r="F23" s="17">
        <v>0</v>
      </c>
      <c r="G23" s="18" t="s">
        <v>4</v>
      </c>
      <c r="H23" s="18" t="s">
        <v>4</v>
      </c>
      <c r="I23" s="17">
        <f t="shared" si="0"/>
        <v>0</v>
      </c>
    </row>
    <row r="24" spans="1:9" x14ac:dyDescent="0.25">
      <c r="A24" s="153" t="s">
        <v>33</v>
      </c>
      <c r="B24" s="154"/>
      <c r="C24" s="154"/>
      <c r="D24" s="154"/>
      <c r="E24" s="155"/>
      <c r="F24" s="17">
        <v>0</v>
      </c>
      <c r="G24" s="18" t="s">
        <v>4</v>
      </c>
      <c r="H24" s="18" t="s">
        <v>4</v>
      </c>
      <c r="I24" s="17">
        <f t="shared" si="0"/>
        <v>0</v>
      </c>
    </row>
    <row r="25" spans="1:9" x14ac:dyDescent="0.25">
      <c r="A25" s="153" t="s">
        <v>35</v>
      </c>
      <c r="B25" s="154"/>
      <c r="C25" s="154"/>
      <c r="D25" s="154"/>
      <c r="E25" s="155"/>
      <c r="F25" s="17">
        <v>0</v>
      </c>
      <c r="G25" s="18" t="s">
        <v>4</v>
      </c>
      <c r="H25" s="18" t="s">
        <v>4</v>
      </c>
      <c r="I25" s="17">
        <f t="shared" si="0"/>
        <v>0</v>
      </c>
    </row>
    <row r="26" spans="1:9" x14ac:dyDescent="0.25">
      <c r="A26" s="150" t="s">
        <v>36</v>
      </c>
      <c r="B26" s="151"/>
      <c r="C26" s="151"/>
      <c r="D26" s="151"/>
      <c r="E26" s="152"/>
      <c r="F26" s="19">
        <v>0</v>
      </c>
      <c r="G26" s="20" t="s">
        <v>4</v>
      </c>
      <c r="H26" s="20" t="s">
        <v>4</v>
      </c>
      <c r="I26" s="19">
        <f t="shared" si="0"/>
        <v>0</v>
      </c>
    </row>
    <row r="27" spans="1:9" x14ac:dyDescent="0.25">
      <c r="A27" s="137" t="s">
        <v>66</v>
      </c>
      <c r="B27" s="138"/>
      <c r="C27" s="138"/>
      <c r="D27" s="138"/>
      <c r="E27" s="139"/>
      <c r="F27" s="21" t="s">
        <v>4</v>
      </c>
      <c r="G27" s="22" t="s">
        <v>4</v>
      </c>
      <c r="H27" s="22" t="s">
        <v>4</v>
      </c>
      <c r="I27" s="23">
        <f>SUM(I21:I26)</f>
        <v>0</v>
      </c>
    </row>
    <row r="29" spans="1:9" ht="15.75" x14ac:dyDescent="0.25">
      <c r="A29" s="140" t="s">
        <v>67</v>
      </c>
      <c r="B29" s="141"/>
      <c r="C29" s="141"/>
      <c r="D29" s="141"/>
      <c r="E29" s="142"/>
      <c r="F29" s="143">
        <f>I18+I27</f>
        <v>0</v>
      </c>
      <c r="G29" s="144"/>
      <c r="H29" s="144"/>
      <c r="I29" s="145"/>
    </row>
    <row r="33" spans="1:9" ht="15.75" x14ac:dyDescent="0.25">
      <c r="A33" s="146" t="s">
        <v>68</v>
      </c>
      <c r="B33" s="146"/>
      <c r="C33" s="146"/>
      <c r="D33" s="146"/>
      <c r="E33" s="146"/>
    </row>
    <row r="34" spans="1:9" x14ac:dyDescent="0.25">
      <c r="A34" s="147" t="s">
        <v>69</v>
      </c>
      <c r="B34" s="148"/>
      <c r="C34" s="148"/>
      <c r="D34" s="148"/>
      <c r="E34" s="149"/>
      <c r="F34" s="16" t="s">
        <v>62</v>
      </c>
      <c r="G34" s="16" t="s">
        <v>63</v>
      </c>
      <c r="H34" s="16" t="s">
        <v>64</v>
      </c>
      <c r="I34" s="16" t="s">
        <v>62</v>
      </c>
    </row>
    <row r="35" spans="1:9" x14ac:dyDescent="0.25">
      <c r="A35" s="150" t="s">
        <v>4</v>
      </c>
      <c r="B35" s="151"/>
      <c r="C35" s="151"/>
      <c r="D35" s="151"/>
      <c r="E35" s="152"/>
      <c r="F35" s="19">
        <v>0</v>
      </c>
      <c r="G35" s="20" t="s">
        <v>4</v>
      </c>
      <c r="H35" s="20" t="s">
        <v>4</v>
      </c>
      <c r="I35" s="19">
        <f>F35</f>
        <v>0</v>
      </c>
    </row>
    <row r="36" spans="1:9" x14ac:dyDescent="0.25">
      <c r="A36" s="137" t="s">
        <v>70</v>
      </c>
      <c r="B36" s="138"/>
      <c r="C36" s="138"/>
      <c r="D36" s="138"/>
      <c r="E36" s="139"/>
      <c r="F36" s="21" t="s">
        <v>4</v>
      </c>
      <c r="G36" s="22" t="s">
        <v>4</v>
      </c>
      <c r="H36" s="22" t="s">
        <v>4</v>
      </c>
      <c r="I36" s="23">
        <f>SUM(I35:I35)</f>
        <v>0</v>
      </c>
    </row>
  </sheetData>
  <mergeCells count="51">
    <mergeCell ref="A1:I1"/>
    <mergeCell ref="A2:B3"/>
    <mergeCell ref="A4:B5"/>
    <mergeCell ref="A6:B7"/>
    <mergeCell ref="A8:B9"/>
    <mergeCell ref="H2:H3"/>
    <mergeCell ref="H4:H5"/>
    <mergeCell ref="H6:H7"/>
    <mergeCell ref="H8:H9"/>
    <mergeCell ref="I2:I3"/>
    <mergeCell ref="I4:I5"/>
    <mergeCell ref="I6:I7"/>
    <mergeCell ref="I8:I9"/>
    <mergeCell ref="E2:E3"/>
    <mergeCell ref="E4:E5"/>
    <mergeCell ref="E6:E7"/>
    <mergeCell ref="E8:E9"/>
    <mergeCell ref="E10:E11"/>
    <mergeCell ref="F2:G3"/>
    <mergeCell ref="F4:G5"/>
    <mergeCell ref="F6:G7"/>
    <mergeCell ref="F8:G9"/>
    <mergeCell ref="F10:G11"/>
    <mergeCell ref="C2:D3"/>
    <mergeCell ref="C4:D5"/>
    <mergeCell ref="C6:D7"/>
    <mergeCell ref="C8:D9"/>
    <mergeCell ref="C10:D11"/>
    <mergeCell ref="I10:I11"/>
    <mergeCell ref="A13:E13"/>
    <mergeCell ref="A14:E14"/>
    <mergeCell ref="A15:E15"/>
    <mergeCell ref="A16:E16"/>
    <mergeCell ref="H10:H11"/>
    <mergeCell ref="A10:B11"/>
    <mergeCell ref="A17:E17"/>
    <mergeCell ref="A18:E18"/>
    <mergeCell ref="A20:E20"/>
    <mergeCell ref="A21:E21"/>
    <mergeCell ref="A22:E22"/>
    <mergeCell ref="A23:E23"/>
    <mergeCell ref="A24:E24"/>
    <mergeCell ref="A25:E25"/>
    <mergeCell ref="A26:E26"/>
    <mergeCell ref="A27:E27"/>
    <mergeCell ref="A36:E36"/>
    <mergeCell ref="A29:E29"/>
    <mergeCell ref="F29:I29"/>
    <mergeCell ref="A33:E33"/>
    <mergeCell ref="A34:E34"/>
    <mergeCell ref="A35:E35"/>
  </mergeCells>
  <pageMargins left="0.393999993801117" right="0.393999993801117" top="0.59100002050399802" bottom="0.59100002050399802" header="0" footer="0"/>
  <pageSetup fitToHeight="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Z126"/>
  <sheetViews>
    <sheetView tabSelected="1" workbookViewId="0">
      <pane ySplit="11" topLeftCell="A109" activePane="bottomLeft" state="frozen"/>
      <selection pane="bottomLeft" activeCell="C43" sqref="C43:D43"/>
    </sheetView>
  </sheetViews>
  <sheetFormatPr defaultColWidth="12.140625" defaultRowHeight="15" customHeight="1" x14ac:dyDescent="0.25"/>
  <cols>
    <col min="1" max="1" width="4" customWidth="1"/>
    <col min="2" max="2" width="17.85546875" customWidth="1"/>
    <col min="3" max="3" width="42.85546875" customWidth="1"/>
    <col min="4" max="4" width="35.7109375" customWidth="1"/>
    <col min="5" max="5" width="6.42578125" customWidth="1"/>
    <col min="6" max="6" width="12.85546875" customWidth="1"/>
    <col min="7" max="7" width="12" customWidth="1"/>
    <col min="8" max="10" width="15.7109375" customWidth="1"/>
    <col min="11" max="11" width="13.42578125" customWidth="1"/>
    <col min="25" max="75" width="12.140625" hidden="1"/>
    <col min="76" max="76" width="78.5703125" hidden="1" customWidth="1"/>
    <col min="77" max="78" width="12.140625" hidden="1"/>
  </cols>
  <sheetData>
    <row r="1" spans="1:76" ht="54.75" customHeight="1" x14ac:dyDescent="0.25">
      <c r="A1" s="127" t="s">
        <v>71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AS1" s="24">
        <f>SUM(AJ1:AJ2)</f>
        <v>0</v>
      </c>
      <c r="AT1" s="24">
        <f>SUM(AK1:AK2)</f>
        <v>0</v>
      </c>
      <c r="AU1" s="24">
        <f>SUM(AL1:AL2)</f>
        <v>0</v>
      </c>
    </row>
    <row r="2" spans="1:76" x14ac:dyDescent="0.25">
      <c r="A2" s="128" t="s">
        <v>1</v>
      </c>
      <c r="B2" s="129"/>
      <c r="C2" s="134" t="s">
        <v>72</v>
      </c>
      <c r="D2" s="135"/>
      <c r="E2" s="129" t="s">
        <v>73</v>
      </c>
      <c r="F2" s="129"/>
      <c r="G2" s="129" t="s">
        <v>74</v>
      </c>
      <c r="H2" s="125" t="s">
        <v>2</v>
      </c>
      <c r="I2" s="129" t="s">
        <v>75</v>
      </c>
      <c r="J2" s="129"/>
      <c r="K2" s="131"/>
    </row>
    <row r="3" spans="1:76" x14ac:dyDescent="0.25">
      <c r="A3" s="130"/>
      <c r="B3" s="86"/>
      <c r="C3" s="136"/>
      <c r="D3" s="136"/>
      <c r="E3" s="86"/>
      <c r="F3" s="86"/>
      <c r="G3" s="86"/>
      <c r="H3" s="86"/>
      <c r="I3" s="86"/>
      <c r="J3" s="86"/>
      <c r="K3" s="132"/>
    </row>
    <row r="4" spans="1:76" x14ac:dyDescent="0.25">
      <c r="A4" s="123" t="s">
        <v>5</v>
      </c>
      <c r="B4" s="86"/>
      <c r="C4" s="85" t="s">
        <v>76</v>
      </c>
      <c r="D4" s="86"/>
      <c r="E4" s="86" t="s">
        <v>10</v>
      </c>
      <c r="F4" s="86"/>
      <c r="G4" s="86" t="s">
        <v>77</v>
      </c>
      <c r="H4" s="85" t="s">
        <v>6</v>
      </c>
      <c r="I4" s="85" t="s">
        <v>78</v>
      </c>
      <c r="J4" s="86"/>
      <c r="K4" s="132"/>
    </row>
    <row r="5" spans="1:76" x14ac:dyDescent="0.25">
      <c r="A5" s="130"/>
      <c r="B5" s="86"/>
      <c r="C5" s="86"/>
      <c r="D5" s="86"/>
      <c r="E5" s="86"/>
      <c r="F5" s="86"/>
      <c r="G5" s="86"/>
      <c r="H5" s="86"/>
      <c r="I5" s="86"/>
      <c r="J5" s="86"/>
      <c r="K5" s="132"/>
    </row>
    <row r="6" spans="1:76" x14ac:dyDescent="0.25">
      <c r="A6" s="123" t="s">
        <v>7</v>
      </c>
      <c r="B6" s="86"/>
      <c r="C6" s="85" t="s">
        <v>79</v>
      </c>
      <c r="D6" s="86"/>
      <c r="E6" s="86" t="s">
        <v>11</v>
      </c>
      <c r="F6" s="86"/>
      <c r="G6" s="86" t="s">
        <v>80</v>
      </c>
      <c r="H6" s="85" t="s">
        <v>8</v>
      </c>
      <c r="I6" s="85" t="s">
        <v>81</v>
      </c>
      <c r="J6" s="86"/>
      <c r="K6" s="132"/>
    </row>
    <row r="7" spans="1:76" x14ac:dyDescent="0.25">
      <c r="A7" s="130"/>
      <c r="B7" s="86"/>
      <c r="C7" s="86"/>
      <c r="D7" s="86"/>
      <c r="E7" s="86"/>
      <c r="F7" s="86"/>
      <c r="G7" s="86"/>
      <c r="H7" s="86"/>
      <c r="I7" s="86"/>
      <c r="J7" s="86"/>
      <c r="K7" s="132"/>
    </row>
    <row r="8" spans="1:76" x14ac:dyDescent="0.25">
      <c r="A8" s="123" t="s">
        <v>13</v>
      </c>
      <c r="B8" s="86"/>
      <c r="C8" s="85" t="s">
        <v>77</v>
      </c>
      <c r="D8" s="86"/>
      <c r="E8" s="86" t="s">
        <v>82</v>
      </c>
      <c r="F8" s="86"/>
      <c r="G8" s="86" t="s">
        <v>83</v>
      </c>
      <c r="H8" s="85" t="s">
        <v>14</v>
      </c>
      <c r="I8" s="85" t="s">
        <v>84</v>
      </c>
      <c r="J8" s="86"/>
      <c r="K8" s="132"/>
    </row>
    <row r="9" spans="1:76" x14ac:dyDescent="0.25">
      <c r="A9" s="174"/>
      <c r="B9" s="175"/>
      <c r="C9" s="175"/>
      <c r="D9" s="175"/>
      <c r="E9" s="175"/>
      <c r="F9" s="175"/>
      <c r="G9" s="175"/>
      <c r="H9" s="175"/>
      <c r="I9" s="175"/>
      <c r="J9" s="175"/>
      <c r="K9" s="176"/>
    </row>
    <row r="10" spans="1:76" x14ac:dyDescent="0.25">
      <c r="A10" s="25" t="s">
        <v>85</v>
      </c>
      <c r="B10" s="26" t="s">
        <v>86</v>
      </c>
      <c r="C10" s="172" t="s">
        <v>87</v>
      </c>
      <c r="D10" s="173"/>
      <c r="E10" s="26" t="s">
        <v>88</v>
      </c>
      <c r="F10" s="27" t="s">
        <v>89</v>
      </c>
      <c r="G10" s="28" t="s">
        <v>90</v>
      </c>
      <c r="H10" s="167" t="s">
        <v>91</v>
      </c>
      <c r="I10" s="168"/>
      <c r="J10" s="169"/>
      <c r="K10" s="29" t="s">
        <v>92</v>
      </c>
      <c r="BK10" s="30" t="s">
        <v>93</v>
      </c>
      <c r="BL10" s="31" t="s">
        <v>94</v>
      </c>
      <c r="BW10" s="31" t="s">
        <v>95</v>
      </c>
    </row>
    <row r="11" spans="1:76" ht="15.75" thickBot="1" x14ac:dyDescent="0.3">
      <c r="A11" s="32" t="s">
        <v>77</v>
      </c>
      <c r="B11" s="33" t="s">
        <v>77</v>
      </c>
      <c r="C11" s="165" t="s">
        <v>96</v>
      </c>
      <c r="D11" s="166"/>
      <c r="E11" s="33" t="s">
        <v>77</v>
      </c>
      <c r="F11" s="33" t="s">
        <v>77</v>
      </c>
      <c r="G11" s="34" t="s">
        <v>97</v>
      </c>
      <c r="H11" s="35" t="s">
        <v>98</v>
      </c>
      <c r="I11" s="36" t="s">
        <v>27</v>
      </c>
      <c r="J11" s="37" t="s">
        <v>99</v>
      </c>
      <c r="K11" s="38" t="s">
        <v>100</v>
      </c>
      <c r="Z11" s="30" t="s">
        <v>101</v>
      </c>
      <c r="AA11" s="30" t="s">
        <v>102</v>
      </c>
      <c r="AB11" s="30" t="s">
        <v>103</v>
      </c>
      <c r="AC11" s="30" t="s">
        <v>104</v>
      </c>
      <c r="AD11" s="30" t="s">
        <v>105</v>
      </c>
      <c r="AE11" s="30" t="s">
        <v>106</v>
      </c>
      <c r="AF11" s="30" t="s">
        <v>107</v>
      </c>
      <c r="AG11" s="30" t="s">
        <v>108</v>
      </c>
      <c r="AH11" s="30" t="s">
        <v>109</v>
      </c>
      <c r="BH11" s="30" t="s">
        <v>110</v>
      </c>
      <c r="BI11" s="30" t="s">
        <v>111</v>
      </c>
      <c r="BJ11" s="30" t="s">
        <v>112</v>
      </c>
    </row>
    <row r="12" spans="1:76" x14ac:dyDescent="0.25">
      <c r="A12" s="53" t="s">
        <v>4</v>
      </c>
      <c r="B12" s="54" t="s">
        <v>113</v>
      </c>
      <c r="C12" s="170" t="s">
        <v>114</v>
      </c>
      <c r="D12" s="171"/>
      <c r="E12" s="55" t="s">
        <v>77</v>
      </c>
      <c r="F12" s="55" t="s">
        <v>77</v>
      </c>
      <c r="G12" s="55" t="s">
        <v>77</v>
      </c>
      <c r="H12" s="56">
        <f>SUM(H13:H34)</f>
        <v>0</v>
      </c>
      <c r="I12" s="56">
        <f>SUM(I13:I34)</f>
        <v>0</v>
      </c>
      <c r="J12" s="56">
        <f>SUM(J13:J34)</f>
        <v>0</v>
      </c>
      <c r="K12" s="57" t="s">
        <v>4</v>
      </c>
      <c r="AI12" s="30" t="s">
        <v>4</v>
      </c>
      <c r="AS12" s="24">
        <f>SUM(AJ13:AJ34)</f>
        <v>0</v>
      </c>
      <c r="AT12" s="24">
        <f>SUM(AK13:AK34)</f>
        <v>0</v>
      </c>
      <c r="AU12" s="24">
        <f>SUM(AL13:AL34)</f>
        <v>0</v>
      </c>
    </row>
    <row r="13" spans="1:76" ht="25.5" x14ac:dyDescent="0.25">
      <c r="A13" s="58" t="s">
        <v>115</v>
      </c>
      <c r="B13" s="44" t="s">
        <v>116</v>
      </c>
      <c r="C13" s="157" t="s">
        <v>117</v>
      </c>
      <c r="D13" s="158"/>
      <c r="E13" s="44" t="s">
        <v>118</v>
      </c>
      <c r="F13" s="45">
        <v>1</v>
      </c>
      <c r="G13" s="45">
        <v>0</v>
      </c>
      <c r="H13" s="45">
        <f>F13*AO13</f>
        <v>0</v>
      </c>
      <c r="I13" s="45">
        <f>F13*AP13</f>
        <v>0</v>
      </c>
      <c r="J13" s="45">
        <f>F13*G13</f>
        <v>0</v>
      </c>
      <c r="K13" s="59" t="s">
        <v>119</v>
      </c>
      <c r="Z13" s="39">
        <f>IF(AQ13="5",BJ13,0)</f>
        <v>0</v>
      </c>
      <c r="AB13" s="39">
        <f>IF(AQ13="1",BH13,0)</f>
        <v>0</v>
      </c>
      <c r="AC13" s="39">
        <f>IF(AQ13="1",BI13,0)</f>
        <v>0</v>
      </c>
      <c r="AD13" s="39">
        <f>IF(AQ13="7",BH13,0)</f>
        <v>0</v>
      </c>
      <c r="AE13" s="39">
        <f>IF(AQ13="7",BI13,0)</f>
        <v>0</v>
      </c>
      <c r="AF13" s="39">
        <f>IF(AQ13="2",BH13,0)</f>
        <v>0</v>
      </c>
      <c r="AG13" s="39">
        <f>IF(AQ13="2",BI13,0)</f>
        <v>0</v>
      </c>
      <c r="AH13" s="39">
        <f>IF(AQ13="0",BJ13,0)</f>
        <v>0</v>
      </c>
      <c r="AI13" s="30" t="s">
        <v>4</v>
      </c>
      <c r="AJ13" s="39">
        <f>IF(AN13=0,J13,0)</f>
        <v>0</v>
      </c>
      <c r="AK13" s="39">
        <f>IF(AN13=12,J13,0)</f>
        <v>0</v>
      </c>
      <c r="AL13" s="39">
        <f>IF(AN13=21,J13,0)</f>
        <v>0</v>
      </c>
      <c r="AN13" s="39">
        <v>21</v>
      </c>
      <c r="AO13" s="39">
        <f>G13*0</f>
        <v>0</v>
      </c>
      <c r="AP13" s="39">
        <f>G13*(1-0)</f>
        <v>0</v>
      </c>
      <c r="AQ13" s="40" t="s">
        <v>120</v>
      </c>
      <c r="AV13" s="39">
        <f>AW13+AX13</f>
        <v>0</v>
      </c>
      <c r="AW13" s="39">
        <f>F13*AO13</f>
        <v>0</v>
      </c>
      <c r="AX13" s="39">
        <f>F13*AP13</f>
        <v>0</v>
      </c>
      <c r="AY13" s="40" t="s">
        <v>121</v>
      </c>
      <c r="AZ13" s="40" t="s">
        <v>122</v>
      </c>
      <c r="BA13" s="30" t="s">
        <v>123</v>
      </c>
      <c r="BC13" s="39">
        <f>AW13+AX13</f>
        <v>0</v>
      </c>
      <c r="BD13" s="39">
        <f>G13/(100-BE13)*100</f>
        <v>0</v>
      </c>
      <c r="BE13" s="39">
        <v>0</v>
      </c>
      <c r="BF13" s="39">
        <f>13</f>
        <v>13</v>
      </c>
      <c r="BH13" s="39">
        <f>F13*AO13</f>
        <v>0</v>
      </c>
      <c r="BI13" s="39">
        <f>F13*AP13</f>
        <v>0</v>
      </c>
      <c r="BJ13" s="39">
        <f>F13*G13</f>
        <v>0</v>
      </c>
      <c r="BK13" s="39"/>
      <c r="BL13" s="39">
        <v>731</v>
      </c>
      <c r="BW13" s="39">
        <v>21</v>
      </c>
      <c r="BX13" s="1" t="s">
        <v>117</v>
      </c>
    </row>
    <row r="14" spans="1:76" s="75" customFormat="1" ht="25.5" x14ac:dyDescent="0.25">
      <c r="A14" s="71" t="s">
        <v>124</v>
      </c>
      <c r="B14" s="72" t="s">
        <v>125</v>
      </c>
      <c r="C14" s="163" t="s">
        <v>126</v>
      </c>
      <c r="D14" s="164"/>
      <c r="E14" s="72" t="s">
        <v>127</v>
      </c>
      <c r="F14" s="73">
        <v>1</v>
      </c>
      <c r="G14" s="73">
        <v>0</v>
      </c>
      <c r="H14" s="73">
        <f>F14*AO14</f>
        <v>0</v>
      </c>
      <c r="I14" s="73">
        <f>F14*AP14</f>
        <v>0</v>
      </c>
      <c r="J14" s="73">
        <f>F14*G14</f>
        <v>0</v>
      </c>
      <c r="K14" s="74" t="s">
        <v>4</v>
      </c>
      <c r="Z14" s="76">
        <f>IF(AQ14="5",BJ14,0)</f>
        <v>0</v>
      </c>
      <c r="AB14" s="76">
        <f>IF(AQ14="1",BH14,0)</f>
        <v>0</v>
      </c>
      <c r="AC14" s="76">
        <f>IF(AQ14="1",BI14,0)</f>
        <v>0</v>
      </c>
      <c r="AD14" s="76">
        <f>IF(AQ14="7",BH14,0)</f>
        <v>0</v>
      </c>
      <c r="AE14" s="76">
        <f>IF(AQ14="7",BI14,0)</f>
        <v>0</v>
      </c>
      <c r="AF14" s="76">
        <f>IF(AQ14="2",BH14,0)</f>
        <v>0</v>
      </c>
      <c r="AG14" s="76">
        <f>IF(AQ14="2",BI14,0)</f>
        <v>0</v>
      </c>
      <c r="AH14" s="76">
        <f>IF(AQ14="0",BJ14,0)</f>
        <v>0</v>
      </c>
      <c r="AI14" s="77" t="s">
        <v>4</v>
      </c>
      <c r="AJ14" s="76">
        <f>IF(AN14=0,J14,0)</f>
        <v>0</v>
      </c>
      <c r="AK14" s="76">
        <f>IF(AN14=12,J14,0)</f>
        <v>0</v>
      </c>
      <c r="AL14" s="76">
        <f>IF(AN14=21,J14,0)</f>
        <v>0</v>
      </c>
      <c r="AN14" s="76">
        <v>21</v>
      </c>
      <c r="AO14" s="76">
        <f>G14*1</f>
        <v>0</v>
      </c>
      <c r="AP14" s="76">
        <f>G14*(1-1)</f>
        <v>0</v>
      </c>
      <c r="AQ14" s="78" t="s">
        <v>120</v>
      </c>
      <c r="AV14" s="76">
        <f>AW14+AX14</f>
        <v>0</v>
      </c>
      <c r="AW14" s="76">
        <f>F14*AO14</f>
        <v>0</v>
      </c>
      <c r="AX14" s="76">
        <f>F14*AP14</f>
        <v>0</v>
      </c>
      <c r="AY14" s="78" t="s">
        <v>121</v>
      </c>
      <c r="AZ14" s="78" t="s">
        <v>122</v>
      </c>
      <c r="BA14" s="77" t="s">
        <v>123</v>
      </c>
      <c r="BC14" s="76">
        <f>AW14+AX14</f>
        <v>0</v>
      </c>
      <c r="BD14" s="76">
        <f>G14/(100-BE14)*100</f>
        <v>0</v>
      </c>
      <c r="BE14" s="76">
        <v>0</v>
      </c>
      <c r="BF14" s="76">
        <f>14</f>
        <v>14</v>
      </c>
      <c r="BH14" s="76">
        <f>F14*AO14</f>
        <v>0</v>
      </c>
      <c r="BI14" s="76">
        <f>F14*AP14</f>
        <v>0</v>
      </c>
      <c r="BJ14" s="76">
        <f>F14*G14</f>
        <v>0</v>
      </c>
      <c r="BK14" s="76"/>
      <c r="BL14" s="76">
        <v>731</v>
      </c>
      <c r="BW14" s="76">
        <v>21</v>
      </c>
      <c r="BX14" s="79" t="s">
        <v>126</v>
      </c>
    </row>
    <row r="15" spans="1:76" s="75" customFormat="1" x14ac:dyDescent="0.25">
      <c r="A15" s="80"/>
      <c r="B15" s="81"/>
      <c r="C15" s="82" t="s">
        <v>4</v>
      </c>
      <c r="D15" s="82" t="s">
        <v>128</v>
      </c>
      <c r="E15" s="81"/>
      <c r="F15" s="83">
        <v>0</v>
      </c>
      <c r="G15" s="81"/>
      <c r="H15" s="81"/>
      <c r="I15" s="81"/>
      <c r="J15" s="81"/>
      <c r="K15" s="84"/>
    </row>
    <row r="16" spans="1:76" s="75" customFormat="1" ht="25.5" x14ac:dyDescent="0.25">
      <c r="A16" s="71" t="s">
        <v>129</v>
      </c>
      <c r="B16" s="72" t="s">
        <v>130</v>
      </c>
      <c r="C16" s="163" t="s">
        <v>131</v>
      </c>
      <c r="D16" s="164"/>
      <c r="E16" s="72" t="s">
        <v>127</v>
      </c>
      <c r="F16" s="73">
        <v>1</v>
      </c>
      <c r="G16" s="73">
        <v>0</v>
      </c>
      <c r="H16" s="73">
        <f>F16*AO16</f>
        <v>0</v>
      </c>
      <c r="I16" s="73">
        <f>F16*AP16</f>
        <v>0</v>
      </c>
      <c r="J16" s="73">
        <f>F16*G16</f>
        <v>0</v>
      </c>
      <c r="K16" s="74" t="s">
        <v>4</v>
      </c>
      <c r="Z16" s="76">
        <f>IF(AQ16="5",BJ16,0)</f>
        <v>0</v>
      </c>
      <c r="AB16" s="76">
        <f>IF(AQ16="1",BH16,0)</f>
        <v>0</v>
      </c>
      <c r="AC16" s="76">
        <f>IF(AQ16="1",BI16,0)</f>
        <v>0</v>
      </c>
      <c r="AD16" s="76">
        <f>IF(AQ16="7",BH16,0)</f>
        <v>0</v>
      </c>
      <c r="AE16" s="76">
        <f>IF(AQ16="7",BI16,0)</f>
        <v>0</v>
      </c>
      <c r="AF16" s="76">
        <f>IF(AQ16="2",BH16,0)</f>
        <v>0</v>
      </c>
      <c r="AG16" s="76">
        <f>IF(AQ16="2",BI16,0)</f>
        <v>0</v>
      </c>
      <c r="AH16" s="76">
        <f>IF(AQ16="0",BJ16,0)</f>
        <v>0</v>
      </c>
      <c r="AI16" s="77" t="s">
        <v>4</v>
      </c>
      <c r="AJ16" s="76">
        <f>IF(AN16=0,J16,0)</f>
        <v>0</v>
      </c>
      <c r="AK16" s="76">
        <f>IF(AN16=12,J16,0)</f>
        <v>0</v>
      </c>
      <c r="AL16" s="76">
        <f>IF(AN16=21,J16,0)</f>
        <v>0</v>
      </c>
      <c r="AN16" s="76">
        <v>21</v>
      </c>
      <c r="AO16" s="76">
        <f>G16*1</f>
        <v>0</v>
      </c>
      <c r="AP16" s="76">
        <f>G16*(1-1)</f>
        <v>0</v>
      </c>
      <c r="AQ16" s="78" t="s">
        <v>120</v>
      </c>
      <c r="AV16" s="76">
        <f>AW16+AX16</f>
        <v>0</v>
      </c>
      <c r="AW16" s="76">
        <f>F16*AO16</f>
        <v>0</v>
      </c>
      <c r="AX16" s="76">
        <f>F16*AP16</f>
        <v>0</v>
      </c>
      <c r="AY16" s="78" t="s">
        <v>121</v>
      </c>
      <c r="AZ16" s="78" t="s">
        <v>122</v>
      </c>
      <c r="BA16" s="77" t="s">
        <v>123</v>
      </c>
      <c r="BC16" s="76">
        <f>AW16+AX16</f>
        <v>0</v>
      </c>
      <c r="BD16" s="76">
        <f>G16/(100-BE16)*100</f>
        <v>0</v>
      </c>
      <c r="BE16" s="76">
        <v>0</v>
      </c>
      <c r="BF16" s="76">
        <f>16</f>
        <v>16</v>
      </c>
      <c r="BH16" s="76">
        <f>F16*AO16</f>
        <v>0</v>
      </c>
      <c r="BI16" s="76">
        <f>F16*AP16</f>
        <v>0</v>
      </c>
      <c r="BJ16" s="76">
        <f>F16*G16</f>
        <v>0</v>
      </c>
      <c r="BK16" s="76"/>
      <c r="BL16" s="76">
        <v>731</v>
      </c>
      <c r="BW16" s="76">
        <v>21</v>
      </c>
      <c r="BX16" s="79" t="s">
        <v>131</v>
      </c>
    </row>
    <row r="17" spans="1:76" s="75" customFormat="1" x14ac:dyDescent="0.25">
      <c r="A17" s="80"/>
      <c r="B17" s="81"/>
      <c r="C17" s="82" t="s">
        <v>4</v>
      </c>
      <c r="D17" s="82" t="s">
        <v>132</v>
      </c>
      <c r="E17" s="81"/>
      <c r="F17" s="83">
        <v>0</v>
      </c>
      <c r="G17" s="81"/>
      <c r="H17" s="81"/>
      <c r="I17" s="81"/>
      <c r="J17" s="81"/>
      <c r="K17" s="84"/>
    </row>
    <row r="18" spans="1:76" s="75" customFormat="1" x14ac:dyDescent="0.25">
      <c r="A18" s="71" t="s">
        <v>133</v>
      </c>
      <c r="B18" s="72" t="s">
        <v>134</v>
      </c>
      <c r="C18" s="163" t="s">
        <v>135</v>
      </c>
      <c r="D18" s="164"/>
      <c r="E18" s="72" t="s">
        <v>136</v>
      </c>
      <c r="F18" s="73">
        <v>2</v>
      </c>
      <c r="G18" s="73">
        <v>0</v>
      </c>
      <c r="H18" s="73">
        <f t="shared" ref="H18:H25" si="0">F18*AO18</f>
        <v>0</v>
      </c>
      <c r="I18" s="73">
        <f t="shared" ref="I18:I25" si="1">F18*AP18</f>
        <v>0</v>
      </c>
      <c r="J18" s="73">
        <f t="shared" ref="J18:J25" si="2">F18*G18</f>
        <v>0</v>
      </c>
      <c r="K18" s="74" t="s">
        <v>119</v>
      </c>
      <c r="Z18" s="76">
        <f t="shared" ref="Z18:Z25" si="3">IF(AQ18="5",BJ18,0)</f>
        <v>0</v>
      </c>
      <c r="AB18" s="76">
        <f t="shared" ref="AB18:AB25" si="4">IF(AQ18="1",BH18,0)</f>
        <v>0</v>
      </c>
      <c r="AC18" s="76">
        <f t="shared" ref="AC18:AC25" si="5">IF(AQ18="1",BI18,0)</f>
        <v>0</v>
      </c>
      <c r="AD18" s="76">
        <f t="shared" ref="AD18:AD25" si="6">IF(AQ18="7",BH18,0)</f>
        <v>0</v>
      </c>
      <c r="AE18" s="76">
        <f t="shared" ref="AE18:AE25" si="7">IF(AQ18="7",BI18,0)</f>
        <v>0</v>
      </c>
      <c r="AF18" s="76">
        <f t="shared" ref="AF18:AF25" si="8">IF(AQ18="2",BH18,0)</f>
        <v>0</v>
      </c>
      <c r="AG18" s="76">
        <f t="shared" ref="AG18:AG25" si="9">IF(AQ18="2",BI18,0)</f>
        <v>0</v>
      </c>
      <c r="AH18" s="76">
        <f t="shared" ref="AH18:AH25" si="10">IF(AQ18="0",BJ18,0)</f>
        <v>0</v>
      </c>
      <c r="AI18" s="77" t="s">
        <v>4</v>
      </c>
      <c r="AJ18" s="76">
        <f t="shared" ref="AJ18:AJ25" si="11">IF(AN18=0,J18,0)</f>
        <v>0</v>
      </c>
      <c r="AK18" s="76">
        <f t="shared" ref="AK18:AK25" si="12">IF(AN18=12,J18,0)</f>
        <v>0</v>
      </c>
      <c r="AL18" s="76">
        <f t="shared" ref="AL18:AL25" si="13">IF(AN18=21,J18,0)</f>
        <v>0</v>
      </c>
      <c r="AN18" s="76">
        <v>21</v>
      </c>
      <c r="AO18" s="76">
        <f>G18*0.313761261</f>
        <v>0</v>
      </c>
      <c r="AP18" s="76">
        <f>G18*(1-0.313761261)</f>
        <v>0</v>
      </c>
      <c r="AQ18" s="78" t="s">
        <v>120</v>
      </c>
      <c r="AV18" s="76">
        <f t="shared" ref="AV18:AV25" si="14">AW18+AX18</f>
        <v>0</v>
      </c>
      <c r="AW18" s="76">
        <f t="shared" ref="AW18:AW25" si="15">F18*AO18</f>
        <v>0</v>
      </c>
      <c r="AX18" s="76">
        <f t="shared" ref="AX18:AX25" si="16">F18*AP18</f>
        <v>0</v>
      </c>
      <c r="AY18" s="78" t="s">
        <v>121</v>
      </c>
      <c r="AZ18" s="78" t="s">
        <v>122</v>
      </c>
      <c r="BA18" s="77" t="s">
        <v>123</v>
      </c>
      <c r="BC18" s="76">
        <f t="shared" ref="BC18:BC25" si="17">AW18+AX18</f>
        <v>0</v>
      </c>
      <c r="BD18" s="76">
        <f t="shared" ref="BD18:BD25" si="18">G18/(100-BE18)*100</f>
        <v>0</v>
      </c>
      <c r="BE18" s="76">
        <v>0</v>
      </c>
      <c r="BF18" s="76">
        <f>18</f>
        <v>18</v>
      </c>
      <c r="BH18" s="76">
        <f t="shared" ref="BH18:BH25" si="19">F18*AO18</f>
        <v>0</v>
      </c>
      <c r="BI18" s="76">
        <f t="shared" ref="BI18:BI25" si="20">F18*AP18</f>
        <v>0</v>
      </c>
      <c r="BJ18" s="76">
        <f t="shared" ref="BJ18:BJ25" si="21">F18*G18</f>
        <v>0</v>
      </c>
      <c r="BK18" s="76"/>
      <c r="BL18" s="76">
        <v>731</v>
      </c>
      <c r="BW18" s="76">
        <v>21</v>
      </c>
      <c r="BX18" s="79" t="s">
        <v>135</v>
      </c>
    </row>
    <row r="19" spans="1:76" s="75" customFormat="1" ht="25.5" x14ac:dyDescent="0.25">
      <c r="A19" s="71" t="s">
        <v>137</v>
      </c>
      <c r="B19" s="72" t="s">
        <v>138</v>
      </c>
      <c r="C19" s="163" t="s">
        <v>139</v>
      </c>
      <c r="D19" s="164"/>
      <c r="E19" s="72" t="s">
        <v>118</v>
      </c>
      <c r="F19" s="73">
        <v>1</v>
      </c>
      <c r="G19" s="73">
        <v>0</v>
      </c>
      <c r="H19" s="73">
        <f t="shared" si="0"/>
        <v>0</v>
      </c>
      <c r="I19" s="73">
        <f t="shared" si="1"/>
        <v>0</v>
      </c>
      <c r="J19" s="73">
        <f t="shared" si="2"/>
        <v>0</v>
      </c>
      <c r="K19" s="74" t="s">
        <v>119</v>
      </c>
      <c r="Z19" s="76">
        <f t="shared" si="3"/>
        <v>0</v>
      </c>
      <c r="AB19" s="76">
        <f t="shared" si="4"/>
        <v>0</v>
      </c>
      <c r="AC19" s="76">
        <f t="shared" si="5"/>
        <v>0</v>
      </c>
      <c r="AD19" s="76">
        <f t="shared" si="6"/>
        <v>0</v>
      </c>
      <c r="AE19" s="76">
        <f t="shared" si="7"/>
        <v>0</v>
      </c>
      <c r="AF19" s="76">
        <f t="shared" si="8"/>
        <v>0</v>
      </c>
      <c r="AG19" s="76">
        <f t="shared" si="9"/>
        <v>0</v>
      </c>
      <c r="AH19" s="76">
        <f t="shared" si="10"/>
        <v>0</v>
      </c>
      <c r="AI19" s="77" t="s">
        <v>4</v>
      </c>
      <c r="AJ19" s="76">
        <f t="shared" si="11"/>
        <v>0</v>
      </c>
      <c r="AK19" s="76">
        <f t="shared" si="12"/>
        <v>0</v>
      </c>
      <c r="AL19" s="76">
        <f t="shared" si="13"/>
        <v>0</v>
      </c>
      <c r="AN19" s="76">
        <v>21</v>
      </c>
      <c r="AO19" s="76">
        <f>G19*1</f>
        <v>0</v>
      </c>
      <c r="AP19" s="76">
        <f>G19*(1-1)</f>
        <v>0</v>
      </c>
      <c r="AQ19" s="78" t="s">
        <v>120</v>
      </c>
      <c r="AV19" s="76">
        <f t="shared" si="14"/>
        <v>0</v>
      </c>
      <c r="AW19" s="76">
        <f t="shared" si="15"/>
        <v>0</v>
      </c>
      <c r="AX19" s="76">
        <f t="shared" si="16"/>
        <v>0</v>
      </c>
      <c r="AY19" s="78" t="s">
        <v>121</v>
      </c>
      <c r="AZ19" s="78" t="s">
        <v>122</v>
      </c>
      <c r="BA19" s="77" t="s">
        <v>123</v>
      </c>
      <c r="BC19" s="76">
        <f t="shared" si="17"/>
        <v>0</v>
      </c>
      <c r="BD19" s="76">
        <f t="shared" si="18"/>
        <v>0</v>
      </c>
      <c r="BE19" s="76">
        <v>0</v>
      </c>
      <c r="BF19" s="76">
        <f>19</f>
        <v>19</v>
      </c>
      <c r="BH19" s="76">
        <f t="shared" si="19"/>
        <v>0</v>
      </c>
      <c r="BI19" s="76">
        <f t="shared" si="20"/>
        <v>0</v>
      </c>
      <c r="BJ19" s="76">
        <f t="shared" si="21"/>
        <v>0</v>
      </c>
      <c r="BK19" s="76"/>
      <c r="BL19" s="76">
        <v>731</v>
      </c>
      <c r="BW19" s="76">
        <v>21</v>
      </c>
      <c r="BX19" s="79" t="s">
        <v>139</v>
      </c>
    </row>
    <row r="20" spans="1:76" s="75" customFormat="1" x14ac:dyDescent="0.25">
      <c r="A20" s="71" t="s">
        <v>140</v>
      </c>
      <c r="B20" s="72" t="s">
        <v>141</v>
      </c>
      <c r="C20" s="163" t="s">
        <v>142</v>
      </c>
      <c r="D20" s="164"/>
      <c r="E20" s="72" t="s">
        <v>118</v>
      </c>
      <c r="F20" s="73">
        <v>1</v>
      </c>
      <c r="G20" s="73">
        <v>0</v>
      </c>
      <c r="H20" s="73">
        <f t="shared" si="0"/>
        <v>0</v>
      </c>
      <c r="I20" s="73">
        <f t="shared" si="1"/>
        <v>0</v>
      </c>
      <c r="J20" s="73">
        <f t="shared" si="2"/>
        <v>0</v>
      </c>
      <c r="K20" s="74" t="s">
        <v>119</v>
      </c>
      <c r="Z20" s="76">
        <f t="shared" si="3"/>
        <v>0</v>
      </c>
      <c r="AB20" s="76">
        <f t="shared" si="4"/>
        <v>0</v>
      </c>
      <c r="AC20" s="76">
        <f t="shared" si="5"/>
        <v>0</v>
      </c>
      <c r="AD20" s="76">
        <f t="shared" si="6"/>
        <v>0</v>
      </c>
      <c r="AE20" s="76">
        <f t="shared" si="7"/>
        <v>0</v>
      </c>
      <c r="AF20" s="76">
        <f t="shared" si="8"/>
        <v>0</v>
      </c>
      <c r="AG20" s="76">
        <f t="shared" si="9"/>
        <v>0</v>
      </c>
      <c r="AH20" s="76">
        <f t="shared" si="10"/>
        <v>0</v>
      </c>
      <c r="AI20" s="77" t="s">
        <v>4</v>
      </c>
      <c r="AJ20" s="76">
        <f t="shared" si="11"/>
        <v>0</v>
      </c>
      <c r="AK20" s="76">
        <f t="shared" si="12"/>
        <v>0</v>
      </c>
      <c r="AL20" s="76">
        <f t="shared" si="13"/>
        <v>0</v>
      </c>
      <c r="AN20" s="76">
        <v>21</v>
      </c>
      <c r="AO20" s="76">
        <f>G20*0.066140845</f>
        <v>0</v>
      </c>
      <c r="AP20" s="76">
        <f>G20*(1-0.066140845)</f>
        <v>0</v>
      </c>
      <c r="AQ20" s="78" t="s">
        <v>120</v>
      </c>
      <c r="AV20" s="76">
        <f t="shared" si="14"/>
        <v>0</v>
      </c>
      <c r="AW20" s="76">
        <f t="shared" si="15"/>
        <v>0</v>
      </c>
      <c r="AX20" s="76">
        <f t="shared" si="16"/>
        <v>0</v>
      </c>
      <c r="AY20" s="78" t="s">
        <v>121</v>
      </c>
      <c r="AZ20" s="78" t="s">
        <v>122</v>
      </c>
      <c r="BA20" s="77" t="s">
        <v>123</v>
      </c>
      <c r="BC20" s="76">
        <f t="shared" si="17"/>
        <v>0</v>
      </c>
      <c r="BD20" s="76">
        <f t="shared" si="18"/>
        <v>0</v>
      </c>
      <c r="BE20" s="76">
        <v>0</v>
      </c>
      <c r="BF20" s="76">
        <f>20</f>
        <v>20</v>
      </c>
      <c r="BH20" s="76">
        <f t="shared" si="19"/>
        <v>0</v>
      </c>
      <c r="BI20" s="76">
        <f t="shared" si="20"/>
        <v>0</v>
      </c>
      <c r="BJ20" s="76">
        <f t="shared" si="21"/>
        <v>0</v>
      </c>
      <c r="BK20" s="76"/>
      <c r="BL20" s="76">
        <v>731</v>
      </c>
      <c r="BW20" s="76">
        <v>21</v>
      </c>
      <c r="BX20" s="79" t="s">
        <v>142</v>
      </c>
    </row>
    <row r="21" spans="1:76" s="75" customFormat="1" ht="25.5" x14ac:dyDescent="0.25">
      <c r="A21" s="71" t="s">
        <v>120</v>
      </c>
      <c r="B21" s="72" t="s">
        <v>138</v>
      </c>
      <c r="C21" s="163" t="s">
        <v>143</v>
      </c>
      <c r="D21" s="164"/>
      <c r="E21" s="72" t="s">
        <v>118</v>
      </c>
      <c r="F21" s="73">
        <v>1</v>
      </c>
      <c r="G21" s="73">
        <v>0</v>
      </c>
      <c r="H21" s="73">
        <f t="shared" si="0"/>
        <v>0</v>
      </c>
      <c r="I21" s="73">
        <f t="shared" si="1"/>
        <v>0</v>
      </c>
      <c r="J21" s="73">
        <f t="shared" si="2"/>
        <v>0</v>
      </c>
      <c r="K21" s="74" t="s">
        <v>119</v>
      </c>
      <c r="Z21" s="76">
        <f t="shared" si="3"/>
        <v>0</v>
      </c>
      <c r="AB21" s="76">
        <f t="shared" si="4"/>
        <v>0</v>
      </c>
      <c r="AC21" s="76">
        <f t="shared" si="5"/>
        <v>0</v>
      </c>
      <c r="AD21" s="76">
        <f t="shared" si="6"/>
        <v>0</v>
      </c>
      <c r="AE21" s="76">
        <f t="shared" si="7"/>
        <v>0</v>
      </c>
      <c r="AF21" s="76">
        <f t="shared" si="8"/>
        <v>0</v>
      </c>
      <c r="AG21" s="76">
        <f t="shared" si="9"/>
        <v>0</v>
      </c>
      <c r="AH21" s="76">
        <f t="shared" si="10"/>
        <v>0</v>
      </c>
      <c r="AI21" s="77" t="s">
        <v>4</v>
      </c>
      <c r="AJ21" s="76">
        <f t="shared" si="11"/>
        <v>0</v>
      </c>
      <c r="AK21" s="76">
        <f t="shared" si="12"/>
        <v>0</v>
      </c>
      <c r="AL21" s="76">
        <f t="shared" si="13"/>
        <v>0</v>
      </c>
      <c r="AN21" s="76">
        <v>21</v>
      </c>
      <c r="AO21" s="76">
        <f>G21*1</f>
        <v>0</v>
      </c>
      <c r="AP21" s="76">
        <f>G21*(1-1)</f>
        <v>0</v>
      </c>
      <c r="AQ21" s="78" t="s">
        <v>120</v>
      </c>
      <c r="AV21" s="76">
        <f t="shared" si="14"/>
        <v>0</v>
      </c>
      <c r="AW21" s="76">
        <f t="shared" si="15"/>
        <v>0</v>
      </c>
      <c r="AX21" s="76">
        <f t="shared" si="16"/>
        <v>0</v>
      </c>
      <c r="AY21" s="78" t="s">
        <v>121</v>
      </c>
      <c r="AZ21" s="78" t="s">
        <v>122</v>
      </c>
      <c r="BA21" s="77" t="s">
        <v>123</v>
      </c>
      <c r="BC21" s="76">
        <f t="shared" si="17"/>
        <v>0</v>
      </c>
      <c r="BD21" s="76">
        <f t="shared" si="18"/>
        <v>0</v>
      </c>
      <c r="BE21" s="76">
        <v>0</v>
      </c>
      <c r="BF21" s="76">
        <f>21</f>
        <v>21</v>
      </c>
      <c r="BH21" s="76">
        <f t="shared" si="19"/>
        <v>0</v>
      </c>
      <c r="BI21" s="76">
        <f t="shared" si="20"/>
        <v>0</v>
      </c>
      <c r="BJ21" s="76">
        <f t="shared" si="21"/>
        <v>0</v>
      </c>
      <c r="BK21" s="76"/>
      <c r="BL21" s="76">
        <v>731</v>
      </c>
      <c r="BW21" s="76">
        <v>21</v>
      </c>
      <c r="BX21" s="79" t="s">
        <v>143</v>
      </c>
    </row>
    <row r="22" spans="1:76" s="75" customFormat="1" ht="25.5" x14ac:dyDescent="0.25">
      <c r="A22" s="71" t="s">
        <v>144</v>
      </c>
      <c r="B22" s="72" t="s">
        <v>145</v>
      </c>
      <c r="C22" s="163" t="s">
        <v>146</v>
      </c>
      <c r="D22" s="164"/>
      <c r="E22" s="72" t="s">
        <v>118</v>
      </c>
      <c r="F22" s="73">
        <v>1</v>
      </c>
      <c r="G22" s="73">
        <v>0</v>
      </c>
      <c r="H22" s="73">
        <f t="shared" si="0"/>
        <v>0</v>
      </c>
      <c r="I22" s="73">
        <f t="shared" si="1"/>
        <v>0</v>
      </c>
      <c r="J22" s="73">
        <f t="shared" si="2"/>
        <v>0</v>
      </c>
      <c r="K22" s="74" t="s">
        <v>119</v>
      </c>
      <c r="Z22" s="76">
        <f t="shared" si="3"/>
        <v>0</v>
      </c>
      <c r="AB22" s="76">
        <f t="shared" si="4"/>
        <v>0</v>
      </c>
      <c r="AC22" s="76">
        <f t="shared" si="5"/>
        <v>0</v>
      </c>
      <c r="AD22" s="76">
        <f t="shared" si="6"/>
        <v>0</v>
      </c>
      <c r="AE22" s="76">
        <f t="shared" si="7"/>
        <v>0</v>
      </c>
      <c r="AF22" s="76">
        <f t="shared" si="8"/>
        <v>0</v>
      </c>
      <c r="AG22" s="76">
        <f t="shared" si="9"/>
        <v>0</v>
      </c>
      <c r="AH22" s="76">
        <f t="shared" si="10"/>
        <v>0</v>
      </c>
      <c r="AI22" s="77" t="s">
        <v>4</v>
      </c>
      <c r="AJ22" s="76">
        <f t="shared" si="11"/>
        <v>0</v>
      </c>
      <c r="AK22" s="76">
        <f t="shared" si="12"/>
        <v>0</v>
      </c>
      <c r="AL22" s="76">
        <f t="shared" si="13"/>
        <v>0</v>
      </c>
      <c r="AN22" s="76">
        <v>21</v>
      </c>
      <c r="AO22" s="76">
        <f>G22*0.9</f>
        <v>0</v>
      </c>
      <c r="AP22" s="76">
        <f>G22*(1-0.9)</f>
        <v>0</v>
      </c>
      <c r="AQ22" s="78" t="s">
        <v>120</v>
      </c>
      <c r="AV22" s="76">
        <f t="shared" si="14"/>
        <v>0</v>
      </c>
      <c r="AW22" s="76">
        <f t="shared" si="15"/>
        <v>0</v>
      </c>
      <c r="AX22" s="76">
        <f t="shared" si="16"/>
        <v>0</v>
      </c>
      <c r="AY22" s="78" t="s">
        <v>121</v>
      </c>
      <c r="AZ22" s="78" t="s">
        <v>122</v>
      </c>
      <c r="BA22" s="77" t="s">
        <v>123</v>
      </c>
      <c r="BC22" s="76">
        <f t="shared" si="17"/>
        <v>0</v>
      </c>
      <c r="BD22" s="76">
        <f t="shared" si="18"/>
        <v>0</v>
      </c>
      <c r="BE22" s="76">
        <v>0</v>
      </c>
      <c r="BF22" s="76">
        <f>22</f>
        <v>22</v>
      </c>
      <c r="BH22" s="76">
        <f t="shared" si="19"/>
        <v>0</v>
      </c>
      <c r="BI22" s="76">
        <f t="shared" si="20"/>
        <v>0</v>
      </c>
      <c r="BJ22" s="76">
        <f t="shared" si="21"/>
        <v>0</v>
      </c>
      <c r="BK22" s="76"/>
      <c r="BL22" s="76">
        <v>731</v>
      </c>
      <c r="BW22" s="76">
        <v>21</v>
      </c>
      <c r="BX22" s="79" t="s">
        <v>146</v>
      </c>
    </row>
    <row r="23" spans="1:76" s="75" customFormat="1" ht="25.5" x14ac:dyDescent="0.25">
      <c r="A23" s="71" t="s">
        <v>147</v>
      </c>
      <c r="B23" s="72" t="s">
        <v>148</v>
      </c>
      <c r="C23" s="163" t="s">
        <v>149</v>
      </c>
      <c r="D23" s="164"/>
      <c r="E23" s="72" t="s">
        <v>118</v>
      </c>
      <c r="F23" s="73">
        <v>1</v>
      </c>
      <c r="G23" s="73">
        <v>0</v>
      </c>
      <c r="H23" s="73">
        <f t="shared" si="0"/>
        <v>0</v>
      </c>
      <c r="I23" s="73">
        <f t="shared" si="1"/>
        <v>0</v>
      </c>
      <c r="J23" s="73">
        <f t="shared" si="2"/>
        <v>0</v>
      </c>
      <c r="K23" s="74" t="s">
        <v>119</v>
      </c>
      <c r="Z23" s="76">
        <f t="shared" si="3"/>
        <v>0</v>
      </c>
      <c r="AB23" s="76">
        <f t="shared" si="4"/>
        <v>0</v>
      </c>
      <c r="AC23" s="76">
        <f t="shared" si="5"/>
        <v>0</v>
      </c>
      <c r="AD23" s="76">
        <f t="shared" si="6"/>
        <v>0</v>
      </c>
      <c r="AE23" s="76">
        <f t="shared" si="7"/>
        <v>0</v>
      </c>
      <c r="AF23" s="76">
        <f t="shared" si="8"/>
        <v>0</v>
      </c>
      <c r="AG23" s="76">
        <f t="shared" si="9"/>
        <v>0</v>
      </c>
      <c r="AH23" s="76">
        <f t="shared" si="10"/>
        <v>0</v>
      </c>
      <c r="AI23" s="77" t="s">
        <v>4</v>
      </c>
      <c r="AJ23" s="76">
        <f t="shared" si="11"/>
        <v>0</v>
      </c>
      <c r="AK23" s="76">
        <f t="shared" si="12"/>
        <v>0</v>
      </c>
      <c r="AL23" s="76">
        <f t="shared" si="13"/>
        <v>0</v>
      </c>
      <c r="AN23" s="76">
        <v>21</v>
      </c>
      <c r="AO23" s="76">
        <f>G23*0.9</f>
        <v>0</v>
      </c>
      <c r="AP23" s="76">
        <f>G23*(1-0.9)</f>
        <v>0</v>
      </c>
      <c r="AQ23" s="78" t="s">
        <v>120</v>
      </c>
      <c r="AV23" s="76">
        <f t="shared" si="14"/>
        <v>0</v>
      </c>
      <c r="AW23" s="76">
        <f t="shared" si="15"/>
        <v>0</v>
      </c>
      <c r="AX23" s="76">
        <f t="shared" si="16"/>
        <v>0</v>
      </c>
      <c r="AY23" s="78" t="s">
        <v>121</v>
      </c>
      <c r="AZ23" s="78" t="s">
        <v>122</v>
      </c>
      <c r="BA23" s="77" t="s">
        <v>123</v>
      </c>
      <c r="BC23" s="76">
        <f t="shared" si="17"/>
        <v>0</v>
      </c>
      <c r="BD23" s="76">
        <f t="shared" si="18"/>
        <v>0</v>
      </c>
      <c r="BE23" s="76">
        <v>0</v>
      </c>
      <c r="BF23" s="76">
        <f>23</f>
        <v>23</v>
      </c>
      <c r="BH23" s="76">
        <f t="shared" si="19"/>
        <v>0</v>
      </c>
      <c r="BI23" s="76">
        <f t="shared" si="20"/>
        <v>0</v>
      </c>
      <c r="BJ23" s="76">
        <f t="shared" si="21"/>
        <v>0</v>
      </c>
      <c r="BK23" s="76"/>
      <c r="BL23" s="76">
        <v>731</v>
      </c>
      <c r="BW23" s="76">
        <v>21</v>
      </c>
      <c r="BX23" s="79" t="s">
        <v>149</v>
      </c>
    </row>
    <row r="24" spans="1:76" s="75" customFormat="1" x14ac:dyDescent="0.25">
      <c r="A24" s="71" t="s">
        <v>150</v>
      </c>
      <c r="B24" s="72" t="s">
        <v>151</v>
      </c>
      <c r="C24" s="163" t="s">
        <v>152</v>
      </c>
      <c r="D24" s="164"/>
      <c r="E24" s="72" t="s">
        <v>118</v>
      </c>
      <c r="F24" s="73">
        <v>1</v>
      </c>
      <c r="G24" s="73">
        <v>0</v>
      </c>
      <c r="H24" s="73">
        <f t="shared" si="0"/>
        <v>0</v>
      </c>
      <c r="I24" s="73">
        <f t="shared" si="1"/>
        <v>0</v>
      </c>
      <c r="J24" s="73">
        <f t="shared" si="2"/>
        <v>0</v>
      </c>
      <c r="K24" s="74" t="s">
        <v>119</v>
      </c>
      <c r="Z24" s="76">
        <f t="shared" si="3"/>
        <v>0</v>
      </c>
      <c r="AB24" s="76">
        <f t="shared" si="4"/>
        <v>0</v>
      </c>
      <c r="AC24" s="76">
        <f t="shared" si="5"/>
        <v>0</v>
      </c>
      <c r="AD24" s="76">
        <f t="shared" si="6"/>
        <v>0</v>
      </c>
      <c r="AE24" s="76">
        <f t="shared" si="7"/>
        <v>0</v>
      </c>
      <c r="AF24" s="76">
        <f t="shared" si="8"/>
        <v>0</v>
      </c>
      <c r="AG24" s="76">
        <f t="shared" si="9"/>
        <v>0</v>
      </c>
      <c r="AH24" s="76">
        <f t="shared" si="10"/>
        <v>0</v>
      </c>
      <c r="AI24" s="77" t="s">
        <v>4</v>
      </c>
      <c r="AJ24" s="76">
        <f t="shared" si="11"/>
        <v>0</v>
      </c>
      <c r="AK24" s="76">
        <f t="shared" si="12"/>
        <v>0</v>
      </c>
      <c r="AL24" s="76">
        <f t="shared" si="13"/>
        <v>0</v>
      </c>
      <c r="AN24" s="76">
        <v>21</v>
      </c>
      <c r="AO24" s="76">
        <f>G24*0.066542923</f>
        <v>0</v>
      </c>
      <c r="AP24" s="76">
        <f>G24*(1-0.066542923)</f>
        <v>0</v>
      </c>
      <c r="AQ24" s="78" t="s">
        <v>120</v>
      </c>
      <c r="AV24" s="76">
        <f t="shared" si="14"/>
        <v>0</v>
      </c>
      <c r="AW24" s="76">
        <f t="shared" si="15"/>
        <v>0</v>
      </c>
      <c r="AX24" s="76">
        <f t="shared" si="16"/>
        <v>0</v>
      </c>
      <c r="AY24" s="78" t="s">
        <v>121</v>
      </c>
      <c r="AZ24" s="78" t="s">
        <v>122</v>
      </c>
      <c r="BA24" s="77" t="s">
        <v>123</v>
      </c>
      <c r="BC24" s="76">
        <f t="shared" si="17"/>
        <v>0</v>
      </c>
      <c r="BD24" s="76">
        <f t="shared" si="18"/>
        <v>0</v>
      </c>
      <c r="BE24" s="76">
        <v>0</v>
      </c>
      <c r="BF24" s="76">
        <f>24</f>
        <v>24</v>
      </c>
      <c r="BH24" s="76">
        <f t="shared" si="19"/>
        <v>0</v>
      </c>
      <c r="BI24" s="76">
        <f t="shared" si="20"/>
        <v>0</v>
      </c>
      <c r="BJ24" s="76">
        <f t="shared" si="21"/>
        <v>0</v>
      </c>
      <c r="BK24" s="76"/>
      <c r="BL24" s="76">
        <v>731</v>
      </c>
      <c r="BW24" s="76">
        <v>21</v>
      </c>
      <c r="BX24" s="79" t="s">
        <v>152</v>
      </c>
    </row>
    <row r="25" spans="1:76" s="75" customFormat="1" ht="25.5" x14ac:dyDescent="0.25">
      <c r="A25" s="71" t="s">
        <v>153</v>
      </c>
      <c r="B25" s="72" t="s">
        <v>154</v>
      </c>
      <c r="C25" s="163" t="s">
        <v>446</v>
      </c>
      <c r="D25" s="164"/>
      <c r="E25" s="72" t="s">
        <v>118</v>
      </c>
      <c r="F25" s="73">
        <v>1</v>
      </c>
      <c r="G25" s="73">
        <v>0</v>
      </c>
      <c r="H25" s="73">
        <f t="shared" si="0"/>
        <v>0</v>
      </c>
      <c r="I25" s="73">
        <f t="shared" si="1"/>
        <v>0</v>
      </c>
      <c r="J25" s="73">
        <f t="shared" si="2"/>
        <v>0</v>
      </c>
      <c r="K25" s="74" t="s">
        <v>119</v>
      </c>
      <c r="Z25" s="76">
        <f t="shared" si="3"/>
        <v>0</v>
      </c>
      <c r="AB25" s="76">
        <f t="shared" si="4"/>
        <v>0</v>
      </c>
      <c r="AC25" s="76">
        <f t="shared" si="5"/>
        <v>0</v>
      </c>
      <c r="AD25" s="76">
        <f t="shared" si="6"/>
        <v>0</v>
      </c>
      <c r="AE25" s="76">
        <f t="shared" si="7"/>
        <v>0</v>
      </c>
      <c r="AF25" s="76">
        <f t="shared" si="8"/>
        <v>0</v>
      </c>
      <c r="AG25" s="76">
        <f t="shared" si="9"/>
        <v>0</v>
      </c>
      <c r="AH25" s="76">
        <f t="shared" si="10"/>
        <v>0</v>
      </c>
      <c r="AI25" s="77" t="s">
        <v>4</v>
      </c>
      <c r="AJ25" s="76">
        <f t="shared" si="11"/>
        <v>0</v>
      </c>
      <c r="AK25" s="76">
        <f t="shared" si="12"/>
        <v>0</v>
      </c>
      <c r="AL25" s="76">
        <f t="shared" si="13"/>
        <v>0</v>
      </c>
      <c r="AN25" s="76">
        <v>21</v>
      </c>
      <c r="AO25" s="76">
        <f>G25*1</f>
        <v>0</v>
      </c>
      <c r="AP25" s="76">
        <f>G25*(1-1)</f>
        <v>0</v>
      </c>
      <c r="AQ25" s="78" t="s">
        <v>120</v>
      </c>
      <c r="AV25" s="76">
        <f t="shared" si="14"/>
        <v>0</v>
      </c>
      <c r="AW25" s="76">
        <f t="shared" si="15"/>
        <v>0</v>
      </c>
      <c r="AX25" s="76">
        <f t="shared" si="16"/>
        <v>0</v>
      </c>
      <c r="AY25" s="78" t="s">
        <v>121</v>
      </c>
      <c r="AZ25" s="78" t="s">
        <v>122</v>
      </c>
      <c r="BA25" s="77" t="s">
        <v>123</v>
      </c>
      <c r="BC25" s="76">
        <f t="shared" si="17"/>
        <v>0</v>
      </c>
      <c r="BD25" s="76">
        <f t="shared" si="18"/>
        <v>0</v>
      </c>
      <c r="BE25" s="76">
        <v>0</v>
      </c>
      <c r="BF25" s="76">
        <f>25</f>
        <v>25</v>
      </c>
      <c r="BH25" s="76">
        <f t="shared" si="19"/>
        <v>0</v>
      </c>
      <c r="BI25" s="76">
        <f t="shared" si="20"/>
        <v>0</v>
      </c>
      <c r="BJ25" s="76">
        <f t="shared" si="21"/>
        <v>0</v>
      </c>
      <c r="BK25" s="76"/>
      <c r="BL25" s="76">
        <v>731</v>
      </c>
      <c r="BW25" s="76">
        <v>21</v>
      </c>
      <c r="BX25" s="79" t="s">
        <v>155</v>
      </c>
    </row>
    <row r="26" spans="1:76" s="75" customFormat="1" x14ac:dyDescent="0.25">
      <c r="A26" s="80"/>
      <c r="B26" s="81"/>
      <c r="C26" s="82" t="s">
        <v>4</v>
      </c>
      <c r="D26" s="82" t="s">
        <v>156</v>
      </c>
      <c r="E26" s="81"/>
      <c r="F26" s="83">
        <v>0</v>
      </c>
      <c r="G26" s="81"/>
      <c r="H26" s="81"/>
      <c r="I26" s="81"/>
      <c r="J26" s="81"/>
      <c r="K26" s="84"/>
    </row>
    <row r="27" spans="1:76" s="75" customFormat="1" x14ac:dyDescent="0.25">
      <c r="A27" s="71" t="s">
        <v>157</v>
      </c>
      <c r="B27" s="72" t="s">
        <v>154</v>
      </c>
      <c r="C27" s="163" t="s">
        <v>158</v>
      </c>
      <c r="D27" s="164"/>
      <c r="E27" s="72" t="s">
        <v>118</v>
      </c>
      <c r="F27" s="73">
        <v>1</v>
      </c>
      <c r="G27" s="73">
        <v>0</v>
      </c>
      <c r="H27" s="73">
        <f>F27*AO27</f>
        <v>0</v>
      </c>
      <c r="I27" s="73">
        <f>F27*AP27</f>
        <v>0</v>
      </c>
      <c r="J27" s="73">
        <f>F27*G27</f>
        <v>0</v>
      </c>
      <c r="K27" s="74" t="s">
        <v>119</v>
      </c>
      <c r="Z27" s="76">
        <f>IF(AQ27="5",BJ27,0)</f>
        <v>0</v>
      </c>
      <c r="AB27" s="76">
        <f>IF(AQ27="1",BH27,0)</f>
        <v>0</v>
      </c>
      <c r="AC27" s="76">
        <f>IF(AQ27="1",BI27,0)</f>
        <v>0</v>
      </c>
      <c r="AD27" s="76">
        <f>IF(AQ27="7",BH27,0)</f>
        <v>0</v>
      </c>
      <c r="AE27" s="76">
        <f>IF(AQ27="7",BI27,0)</f>
        <v>0</v>
      </c>
      <c r="AF27" s="76">
        <f>IF(AQ27="2",BH27,0)</f>
        <v>0</v>
      </c>
      <c r="AG27" s="76">
        <f>IF(AQ27="2",BI27,0)</f>
        <v>0</v>
      </c>
      <c r="AH27" s="76">
        <f>IF(AQ27="0",BJ27,0)</f>
        <v>0</v>
      </c>
      <c r="AI27" s="77" t="s">
        <v>4</v>
      </c>
      <c r="AJ27" s="76">
        <f>IF(AN27=0,J27,0)</f>
        <v>0</v>
      </c>
      <c r="AK27" s="76">
        <f>IF(AN27=12,J27,0)</f>
        <v>0</v>
      </c>
      <c r="AL27" s="76">
        <f>IF(AN27=21,J27,0)</f>
        <v>0</v>
      </c>
      <c r="AN27" s="76">
        <v>21</v>
      </c>
      <c r="AO27" s="76">
        <f>G27*1</f>
        <v>0</v>
      </c>
      <c r="AP27" s="76">
        <f>G27*(1-1)</f>
        <v>0</v>
      </c>
      <c r="AQ27" s="78" t="s">
        <v>120</v>
      </c>
      <c r="AV27" s="76">
        <f>AW27+AX27</f>
        <v>0</v>
      </c>
      <c r="AW27" s="76">
        <f>F27*AO27</f>
        <v>0</v>
      </c>
      <c r="AX27" s="76">
        <f>F27*AP27</f>
        <v>0</v>
      </c>
      <c r="AY27" s="78" t="s">
        <v>121</v>
      </c>
      <c r="AZ27" s="78" t="s">
        <v>122</v>
      </c>
      <c r="BA27" s="77" t="s">
        <v>123</v>
      </c>
      <c r="BC27" s="76">
        <f>AW27+AX27</f>
        <v>0</v>
      </c>
      <c r="BD27" s="76">
        <f>G27/(100-BE27)*100</f>
        <v>0</v>
      </c>
      <c r="BE27" s="76">
        <v>0</v>
      </c>
      <c r="BF27" s="76">
        <f>27</f>
        <v>27</v>
      </c>
      <c r="BH27" s="76">
        <f>F27*AO27</f>
        <v>0</v>
      </c>
      <c r="BI27" s="76">
        <f>F27*AP27</f>
        <v>0</v>
      </c>
      <c r="BJ27" s="76">
        <f>F27*G27</f>
        <v>0</v>
      </c>
      <c r="BK27" s="76"/>
      <c r="BL27" s="76">
        <v>731</v>
      </c>
      <c r="BW27" s="76">
        <v>21</v>
      </c>
      <c r="BX27" s="79" t="s">
        <v>158</v>
      </c>
    </row>
    <row r="28" spans="1:76" s="75" customFormat="1" x14ac:dyDescent="0.25">
      <c r="A28" s="71" t="s">
        <v>159</v>
      </c>
      <c r="B28" s="72" t="s">
        <v>160</v>
      </c>
      <c r="C28" s="163" t="s">
        <v>161</v>
      </c>
      <c r="D28" s="164"/>
      <c r="E28" s="72" t="s">
        <v>136</v>
      </c>
      <c r="F28" s="73">
        <v>1</v>
      </c>
      <c r="G28" s="73">
        <v>0</v>
      </c>
      <c r="H28" s="73">
        <f>F28*AO28</f>
        <v>0</v>
      </c>
      <c r="I28" s="73">
        <f>F28*AP28</f>
        <v>0</v>
      </c>
      <c r="J28" s="73">
        <f>F28*G28</f>
        <v>0</v>
      </c>
      <c r="K28" s="74" t="s">
        <v>119</v>
      </c>
      <c r="Z28" s="76">
        <f>IF(AQ28="5",BJ28,0)</f>
        <v>0</v>
      </c>
      <c r="AB28" s="76">
        <f>IF(AQ28="1",BH28,0)</f>
        <v>0</v>
      </c>
      <c r="AC28" s="76">
        <f>IF(AQ28="1",BI28,0)</f>
        <v>0</v>
      </c>
      <c r="AD28" s="76">
        <f>IF(AQ28="7",BH28,0)</f>
        <v>0</v>
      </c>
      <c r="AE28" s="76">
        <f>IF(AQ28="7",BI28,0)</f>
        <v>0</v>
      </c>
      <c r="AF28" s="76">
        <f>IF(AQ28="2",BH28,0)</f>
        <v>0</v>
      </c>
      <c r="AG28" s="76">
        <f>IF(AQ28="2",BI28,0)</f>
        <v>0</v>
      </c>
      <c r="AH28" s="76">
        <f>IF(AQ28="0",BJ28,0)</f>
        <v>0</v>
      </c>
      <c r="AI28" s="77" t="s">
        <v>4</v>
      </c>
      <c r="AJ28" s="76">
        <f>IF(AN28=0,J28,0)</f>
        <v>0</v>
      </c>
      <c r="AK28" s="76">
        <f>IF(AN28=12,J28,0)</f>
        <v>0</v>
      </c>
      <c r="AL28" s="76">
        <f>IF(AN28=21,J28,0)</f>
        <v>0</v>
      </c>
      <c r="AN28" s="76">
        <v>21</v>
      </c>
      <c r="AO28" s="76">
        <f>G28*0.632244</f>
        <v>0</v>
      </c>
      <c r="AP28" s="76">
        <f>G28*(1-0.632244)</f>
        <v>0</v>
      </c>
      <c r="AQ28" s="78" t="s">
        <v>120</v>
      </c>
      <c r="AV28" s="76">
        <f>AW28+AX28</f>
        <v>0</v>
      </c>
      <c r="AW28" s="76">
        <f>F28*AO28</f>
        <v>0</v>
      </c>
      <c r="AX28" s="76">
        <f>F28*AP28</f>
        <v>0</v>
      </c>
      <c r="AY28" s="78" t="s">
        <v>121</v>
      </c>
      <c r="AZ28" s="78" t="s">
        <v>122</v>
      </c>
      <c r="BA28" s="77" t="s">
        <v>123</v>
      </c>
      <c r="BC28" s="76">
        <f>AW28+AX28</f>
        <v>0</v>
      </c>
      <c r="BD28" s="76">
        <f>G28/(100-BE28)*100</f>
        <v>0</v>
      </c>
      <c r="BE28" s="76">
        <v>0</v>
      </c>
      <c r="BF28" s="76">
        <f>28</f>
        <v>28</v>
      </c>
      <c r="BH28" s="76">
        <f>F28*AO28</f>
        <v>0</v>
      </c>
      <c r="BI28" s="76">
        <f>F28*AP28</f>
        <v>0</v>
      </c>
      <c r="BJ28" s="76">
        <f>F28*G28</f>
        <v>0</v>
      </c>
      <c r="BK28" s="76"/>
      <c r="BL28" s="76">
        <v>731</v>
      </c>
      <c r="BW28" s="76">
        <v>21</v>
      </c>
      <c r="BX28" s="79" t="s">
        <v>161</v>
      </c>
    </row>
    <row r="29" spans="1:76" s="75" customFormat="1" ht="25.5" x14ac:dyDescent="0.25">
      <c r="A29" s="71" t="s">
        <v>162</v>
      </c>
      <c r="B29" s="72" t="s">
        <v>163</v>
      </c>
      <c r="C29" s="163" t="s">
        <v>164</v>
      </c>
      <c r="D29" s="164"/>
      <c r="E29" s="72" t="s">
        <v>127</v>
      </c>
      <c r="F29" s="73">
        <v>1</v>
      </c>
      <c r="G29" s="73">
        <v>0</v>
      </c>
      <c r="H29" s="73">
        <f>F29*AO29</f>
        <v>0</v>
      </c>
      <c r="I29" s="73">
        <f>F29*AP29</f>
        <v>0</v>
      </c>
      <c r="J29" s="73">
        <f>F29*G29</f>
        <v>0</v>
      </c>
      <c r="K29" s="74" t="s">
        <v>4</v>
      </c>
      <c r="Z29" s="76">
        <f>IF(AQ29="5",BJ29,0)</f>
        <v>0</v>
      </c>
      <c r="AB29" s="76">
        <f>IF(AQ29="1",BH29,0)</f>
        <v>0</v>
      </c>
      <c r="AC29" s="76">
        <f>IF(AQ29="1",BI29,0)</f>
        <v>0</v>
      </c>
      <c r="AD29" s="76">
        <f>IF(AQ29="7",BH29,0)</f>
        <v>0</v>
      </c>
      <c r="AE29" s="76">
        <f>IF(AQ29="7",BI29,0)</f>
        <v>0</v>
      </c>
      <c r="AF29" s="76">
        <f>IF(AQ29="2",BH29,0)</f>
        <v>0</v>
      </c>
      <c r="AG29" s="76">
        <f>IF(AQ29="2",BI29,0)</f>
        <v>0</v>
      </c>
      <c r="AH29" s="76">
        <f>IF(AQ29="0",BJ29,0)</f>
        <v>0</v>
      </c>
      <c r="AI29" s="77" t="s">
        <v>4</v>
      </c>
      <c r="AJ29" s="76">
        <f>IF(AN29=0,J29,0)</f>
        <v>0</v>
      </c>
      <c r="AK29" s="76">
        <f>IF(AN29=12,J29,0)</f>
        <v>0</v>
      </c>
      <c r="AL29" s="76">
        <f>IF(AN29=21,J29,0)</f>
        <v>0</v>
      </c>
      <c r="AN29" s="76">
        <v>21</v>
      </c>
      <c r="AO29" s="76">
        <f>G29*1</f>
        <v>0</v>
      </c>
      <c r="AP29" s="76">
        <f>G29*(1-1)</f>
        <v>0</v>
      </c>
      <c r="AQ29" s="78" t="s">
        <v>120</v>
      </c>
      <c r="AV29" s="76">
        <f>AW29+AX29</f>
        <v>0</v>
      </c>
      <c r="AW29" s="76">
        <f>F29*AO29</f>
        <v>0</v>
      </c>
      <c r="AX29" s="76">
        <f>F29*AP29</f>
        <v>0</v>
      </c>
      <c r="AY29" s="78" t="s">
        <v>121</v>
      </c>
      <c r="AZ29" s="78" t="s">
        <v>122</v>
      </c>
      <c r="BA29" s="77" t="s">
        <v>123</v>
      </c>
      <c r="BC29" s="76">
        <f>AW29+AX29</f>
        <v>0</v>
      </c>
      <c r="BD29" s="76">
        <f>G29/(100-BE29)*100</f>
        <v>0</v>
      </c>
      <c r="BE29" s="76">
        <v>0</v>
      </c>
      <c r="BF29" s="76">
        <f>29</f>
        <v>29</v>
      </c>
      <c r="BH29" s="76">
        <f>F29*AO29</f>
        <v>0</v>
      </c>
      <c r="BI29" s="76">
        <f>F29*AP29</f>
        <v>0</v>
      </c>
      <c r="BJ29" s="76">
        <f>F29*G29</f>
        <v>0</v>
      </c>
      <c r="BK29" s="76"/>
      <c r="BL29" s="76">
        <v>731</v>
      </c>
      <c r="BW29" s="76">
        <v>21</v>
      </c>
      <c r="BX29" s="79" t="s">
        <v>164</v>
      </c>
    </row>
    <row r="30" spans="1:76" x14ac:dyDescent="0.25">
      <c r="A30" s="60"/>
      <c r="B30" s="46"/>
      <c r="C30" s="47" t="s">
        <v>4</v>
      </c>
      <c r="D30" s="47" t="s">
        <v>165</v>
      </c>
      <c r="E30" s="46"/>
      <c r="F30" s="48">
        <v>0</v>
      </c>
      <c r="G30" s="46"/>
      <c r="H30" s="46"/>
      <c r="I30" s="46"/>
      <c r="J30" s="46"/>
      <c r="K30" s="61"/>
    </row>
    <row r="31" spans="1:76" x14ac:dyDescent="0.25">
      <c r="A31" s="58" t="s">
        <v>166</v>
      </c>
      <c r="B31" s="44" t="s">
        <v>167</v>
      </c>
      <c r="C31" s="157" t="s">
        <v>168</v>
      </c>
      <c r="D31" s="158"/>
      <c r="E31" s="44" t="s">
        <v>136</v>
      </c>
      <c r="F31" s="45">
        <v>1</v>
      </c>
      <c r="G31" s="45">
        <v>0</v>
      </c>
      <c r="H31" s="45">
        <f>F31*AO31</f>
        <v>0</v>
      </c>
      <c r="I31" s="45">
        <f>F31*AP31</f>
        <v>0</v>
      </c>
      <c r="J31" s="45">
        <f>F31*G31</f>
        <v>0</v>
      </c>
      <c r="K31" s="59" t="s">
        <v>119</v>
      </c>
      <c r="Z31" s="39">
        <f>IF(AQ31="5",BJ31,0)</f>
        <v>0</v>
      </c>
      <c r="AB31" s="39">
        <f>IF(AQ31="1",BH31,0)</f>
        <v>0</v>
      </c>
      <c r="AC31" s="39">
        <f>IF(AQ31="1",BI31,0)</f>
        <v>0</v>
      </c>
      <c r="AD31" s="39">
        <f>IF(AQ31="7",BH31,0)</f>
        <v>0</v>
      </c>
      <c r="AE31" s="39">
        <f>IF(AQ31="7",BI31,0)</f>
        <v>0</v>
      </c>
      <c r="AF31" s="39">
        <f>IF(AQ31="2",BH31,0)</f>
        <v>0</v>
      </c>
      <c r="AG31" s="39">
        <f>IF(AQ31="2",BI31,0)</f>
        <v>0</v>
      </c>
      <c r="AH31" s="39">
        <f>IF(AQ31="0",BJ31,0)</f>
        <v>0</v>
      </c>
      <c r="AI31" s="30" t="s">
        <v>4</v>
      </c>
      <c r="AJ31" s="39">
        <f>IF(AN31=0,J31,0)</f>
        <v>0</v>
      </c>
      <c r="AK31" s="39">
        <f>IF(AN31=12,J31,0)</f>
        <v>0</v>
      </c>
      <c r="AL31" s="39">
        <f>IF(AN31=21,J31,0)</f>
        <v>0</v>
      </c>
      <c r="AN31" s="39">
        <v>21</v>
      </c>
      <c r="AO31" s="39">
        <f>G31*0.148228688</f>
        <v>0</v>
      </c>
      <c r="AP31" s="39">
        <f>G31*(1-0.148228688)</f>
        <v>0</v>
      </c>
      <c r="AQ31" s="40" t="s">
        <v>120</v>
      </c>
      <c r="AV31" s="39">
        <f>AW31+AX31</f>
        <v>0</v>
      </c>
      <c r="AW31" s="39">
        <f>F31*AO31</f>
        <v>0</v>
      </c>
      <c r="AX31" s="39">
        <f>F31*AP31</f>
        <v>0</v>
      </c>
      <c r="AY31" s="40" t="s">
        <v>121</v>
      </c>
      <c r="AZ31" s="40" t="s">
        <v>122</v>
      </c>
      <c r="BA31" s="30" t="s">
        <v>123</v>
      </c>
      <c r="BC31" s="39">
        <f>AW31+AX31</f>
        <v>0</v>
      </c>
      <c r="BD31" s="39">
        <f>G31/(100-BE31)*100</f>
        <v>0</v>
      </c>
      <c r="BE31" s="39">
        <v>0</v>
      </c>
      <c r="BF31" s="39">
        <f>31</f>
        <v>31</v>
      </c>
      <c r="BH31" s="39">
        <f>F31*AO31</f>
        <v>0</v>
      </c>
      <c r="BI31" s="39">
        <f>F31*AP31</f>
        <v>0</v>
      </c>
      <c r="BJ31" s="39">
        <f>F31*G31</f>
        <v>0</v>
      </c>
      <c r="BK31" s="39"/>
      <c r="BL31" s="39">
        <v>731</v>
      </c>
      <c r="BW31" s="39">
        <v>21</v>
      </c>
      <c r="BX31" s="1" t="s">
        <v>168</v>
      </c>
    </row>
    <row r="32" spans="1:76" ht="25.5" x14ac:dyDescent="0.25">
      <c r="A32" s="58" t="s">
        <v>169</v>
      </c>
      <c r="B32" s="44" t="s">
        <v>170</v>
      </c>
      <c r="C32" s="157" t="s">
        <v>171</v>
      </c>
      <c r="D32" s="158"/>
      <c r="E32" s="44" t="s">
        <v>127</v>
      </c>
      <c r="F32" s="45">
        <v>1</v>
      </c>
      <c r="G32" s="45">
        <v>0</v>
      </c>
      <c r="H32" s="45">
        <f>F32*AO32</f>
        <v>0</v>
      </c>
      <c r="I32" s="45">
        <f>F32*AP32</f>
        <v>0</v>
      </c>
      <c r="J32" s="45">
        <f>F32*G32</f>
        <v>0</v>
      </c>
      <c r="K32" s="59" t="s">
        <v>4</v>
      </c>
      <c r="Z32" s="39">
        <f>IF(AQ32="5",BJ32,0)</f>
        <v>0</v>
      </c>
      <c r="AB32" s="39">
        <f>IF(AQ32="1",BH32,0)</f>
        <v>0</v>
      </c>
      <c r="AC32" s="39">
        <f>IF(AQ32="1",BI32,0)</f>
        <v>0</v>
      </c>
      <c r="AD32" s="39">
        <f>IF(AQ32="7",BH32,0)</f>
        <v>0</v>
      </c>
      <c r="AE32" s="39">
        <f>IF(AQ32="7",BI32,0)</f>
        <v>0</v>
      </c>
      <c r="AF32" s="39">
        <f>IF(AQ32="2",BH32,0)</f>
        <v>0</v>
      </c>
      <c r="AG32" s="39">
        <f>IF(AQ32="2",BI32,0)</f>
        <v>0</v>
      </c>
      <c r="AH32" s="39">
        <f>IF(AQ32="0",BJ32,0)</f>
        <v>0</v>
      </c>
      <c r="AI32" s="30" t="s">
        <v>4</v>
      </c>
      <c r="AJ32" s="39">
        <f>IF(AN32=0,J32,0)</f>
        <v>0</v>
      </c>
      <c r="AK32" s="39">
        <f>IF(AN32=12,J32,0)</f>
        <v>0</v>
      </c>
      <c r="AL32" s="39">
        <f>IF(AN32=21,J32,0)</f>
        <v>0</v>
      </c>
      <c r="AN32" s="39">
        <v>21</v>
      </c>
      <c r="AO32" s="39">
        <f>G32*1</f>
        <v>0</v>
      </c>
      <c r="AP32" s="39">
        <f>G32*(1-1)</f>
        <v>0</v>
      </c>
      <c r="AQ32" s="40" t="s">
        <v>120</v>
      </c>
      <c r="AV32" s="39">
        <f>AW32+AX32</f>
        <v>0</v>
      </c>
      <c r="AW32" s="39">
        <f>F32*AO32</f>
        <v>0</v>
      </c>
      <c r="AX32" s="39">
        <f>F32*AP32</f>
        <v>0</v>
      </c>
      <c r="AY32" s="40" t="s">
        <v>121</v>
      </c>
      <c r="AZ32" s="40" t="s">
        <v>122</v>
      </c>
      <c r="BA32" s="30" t="s">
        <v>123</v>
      </c>
      <c r="BC32" s="39">
        <f>AW32+AX32</f>
        <v>0</v>
      </c>
      <c r="BD32" s="39">
        <f>G32/(100-BE32)*100</f>
        <v>0</v>
      </c>
      <c r="BE32" s="39">
        <v>0</v>
      </c>
      <c r="BF32" s="39">
        <f>32</f>
        <v>32</v>
      </c>
      <c r="BH32" s="39">
        <f>F32*AO32</f>
        <v>0</v>
      </c>
      <c r="BI32" s="39">
        <f>F32*AP32</f>
        <v>0</v>
      </c>
      <c r="BJ32" s="39">
        <f>F32*G32</f>
        <v>0</v>
      </c>
      <c r="BK32" s="39"/>
      <c r="BL32" s="39">
        <v>731</v>
      </c>
      <c r="BW32" s="39">
        <v>21</v>
      </c>
      <c r="BX32" s="1" t="s">
        <v>171</v>
      </c>
    </row>
    <row r="33" spans="1:76" x14ac:dyDescent="0.25">
      <c r="A33" s="58" t="s">
        <v>172</v>
      </c>
      <c r="B33" s="44" t="s">
        <v>173</v>
      </c>
      <c r="C33" s="157" t="s">
        <v>174</v>
      </c>
      <c r="D33" s="158"/>
      <c r="E33" s="44" t="s">
        <v>127</v>
      </c>
      <c r="F33" s="45">
        <v>2</v>
      </c>
      <c r="G33" s="45">
        <v>0</v>
      </c>
      <c r="H33" s="45">
        <f>F33*AO33</f>
        <v>0</v>
      </c>
      <c r="I33" s="45">
        <f>F33*AP33</f>
        <v>0</v>
      </c>
      <c r="J33" s="45">
        <f>F33*G33</f>
        <v>0</v>
      </c>
      <c r="K33" s="59" t="s">
        <v>4</v>
      </c>
      <c r="Z33" s="39">
        <f>IF(AQ33="5",BJ33,0)</f>
        <v>0</v>
      </c>
      <c r="AB33" s="39">
        <f>IF(AQ33="1",BH33,0)</f>
        <v>0</v>
      </c>
      <c r="AC33" s="39">
        <f>IF(AQ33="1",BI33,0)</f>
        <v>0</v>
      </c>
      <c r="AD33" s="39">
        <f>IF(AQ33="7",BH33,0)</f>
        <v>0</v>
      </c>
      <c r="AE33" s="39">
        <f>IF(AQ33="7",BI33,0)</f>
        <v>0</v>
      </c>
      <c r="AF33" s="39">
        <f>IF(AQ33="2",BH33,0)</f>
        <v>0</v>
      </c>
      <c r="AG33" s="39">
        <f>IF(AQ33="2",BI33,0)</f>
        <v>0</v>
      </c>
      <c r="AH33" s="39">
        <f>IF(AQ33="0",BJ33,0)</f>
        <v>0</v>
      </c>
      <c r="AI33" s="30" t="s">
        <v>4</v>
      </c>
      <c r="AJ33" s="39">
        <f>IF(AN33=0,J33,0)</f>
        <v>0</v>
      </c>
      <c r="AK33" s="39">
        <f>IF(AN33=12,J33,0)</f>
        <v>0</v>
      </c>
      <c r="AL33" s="39">
        <f>IF(AN33=21,J33,0)</f>
        <v>0</v>
      </c>
      <c r="AN33" s="39">
        <v>21</v>
      </c>
      <c r="AO33" s="39">
        <f>G33*1</f>
        <v>0</v>
      </c>
      <c r="AP33" s="39">
        <f>G33*(1-1)</f>
        <v>0</v>
      </c>
      <c r="AQ33" s="40" t="s">
        <v>120</v>
      </c>
      <c r="AV33" s="39">
        <f>AW33+AX33</f>
        <v>0</v>
      </c>
      <c r="AW33" s="39">
        <f>F33*AO33</f>
        <v>0</v>
      </c>
      <c r="AX33" s="39">
        <f>F33*AP33</f>
        <v>0</v>
      </c>
      <c r="AY33" s="40" t="s">
        <v>121</v>
      </c>
      <c r="AZ33" s="40" t="s">
        <v>122</v>
      </c>
      <c r="BA33" s="30" t="s">
        <v>123</v>
      </c>
      <c r="BC33" s="39">
        <f>AW33+AX33</f>
        <v>0</v>
      </c>
      <c r="BD33" s="39">
        <f>G33/(100-BE33)*100</f>
        <v>0</v>
      </c>
      <c r="BE33" s="39">
        <v>0</v>
      </c>
      <c r="BF33" s="39">
        <f>33</f>
        <v>33</v>
      </c>
      <c r="BH33" s="39">
        <f>F33*AO33</f>
        <v>0</v>
      </c>
      <c r="BI33" s="39">
        <f>F33*AP33</f>
        <v>0</v>
      </c>
      <c r="BJ33" s="39">
        <f>F33*G33</f>
        <v>0</v>
      </c>
      <c r="BK33" s="39"/>
      <c r="BL33" s="39">
        <v>731</v>
      </c>
      <c r="BW33" s="39">
        <v>21</v>
      </c>
      <c r="BX33" s="1" t="s">
        <v>174</v>
      </c>
    </row>
    <row r="34" spans="1:76" x14ac:dyDescent="0.25">
      <c r="A34" s="58" t="s">
        <v>175</v>
      </c>
      <c r="B34" s="44" t="s">
        <v>176</v>
      </c>
      <c r="C34" s="157" t="s">
        <v>177</v>
      </c>
      <c r="D34" s="158"/>
      <c r="E34" s="44" t="s">
        <v>178</v>
      </c>
      <c r="F34" s="45">
        <v>0.67800000000000005</v>
      </c>
      <c r="G34" s="45">
        <v>0</v>
      </c>
      <c r="H34" s="45">
        <f>F34*AO34</f>
        <v>0</v>
      </c>
      <c r="I34" s="45">
        <f>F34*AP34</f>
        <v>0</v>
      </c>
      <c r="J34" s="45">
        <f>F34*G34</f>
        <v>0</v>
      </c>
      <c r="K34" s="59" t="s">
        <v>119</v>
      </c>
      <c r="Z34" s="39">
        <f>IF(AQ34="5",BJ34,0)</f>
        <v>0</v>
      </c>
      <c r="AB34" s="39">
        <f>IF(AQ34="1",BH34,0)</f>
        <v>0</v>
      </c>
      <c r="AC34" s="39">
        <f>IF(AQ34="1",BI34,0)</f>
        <v>0</v>
      </c>
      <c r="AD34" s="39">
        <f>IF(AQ34="7",BH34,0)</f>
        <v>0</v>
      </c>
      <c r="AE34" s="39">
        <f>IF(AQ34="7",BI34,0)</f>
        <v>0</v>
      </c>
      <c r="AF34" s="39">
        <f>IF(AQ34="2",BH34,0)</f>
        <v>0</v>
      </c>
      <c r="AG34" s="39">
        <f>IF(AQ34="2",BI34,0)</f>
        <v>0</v>
      </c>
      <c r="AH34" s="39">
        <f>IF(AQ34="0",BJ34,0)</f>
        <v>0</v>
      </c>
      <c r="AI34" s="30" t="s">
        <v>4</v>
      </c>
      <c r="AJ34" s="39">
        <f>IF(AN34=0,J34,0)</f>
        <v>0</v>
      </c>
      <c r="AK34" s="39">
        <f>IF(AN34=12,J34,0)</f>
        <v>0</v>
      </c>
      <c r="AL34" s="39">
        <f>IF(AN34=21,J34,0)</f>
        <v>0</v>
      </c>
      <c r="AN34" s="39">
        <v>21</v>
      </c>
      <c r="AO34" s="39">
        <f>G34*0</f>
        <v>0</v>
      </c>
      <c r="AP34" s="39">
        <f>G34*(1-0)</f>
        <v>0</v>
      </c>
      <c r="AQ34" s="40" t="s">
        <v>137</v>
      </c>
      <c r="AV34" s="39">
        <f>AW34+AX34</f>
        <v>0</v>
      </c>
      <c r="AW34" s="39">
        <f>F34*AO34</f>
        <v>0</v>
      </c>
      <c r="AX34" s="39">
        <f>F34*AP34</f>
        <v>0</v>
      </c>
      <c r="AY34" s="40" t="s">
        <v>121</v>
      </c>
      <c r="AZ34" s="40" t="s">
        <v>122</v>
      </c>
      <c r="BA34" s="30" t="s">
        <v>123</v>
      </c>
      <c r="BC34" s="39">
        <f>AW34+AX34</f>
        <v>0</v>
      </c>
      <c r="BD34" s="39">
        <f>G34/(100-BE34)*100</f>
        <v>0</v>
      </c>
      <c r="BE34" s="39">
        <v>0</v>
      </c>
      <c r="BF34" s="39">
        <f>34</f>
        <v>34</v>
      </c>
      <c r="BH34" s="39">
        <f>F34*AO34</f>
        <v>0</v>
      </c>
      <c r="BI34" s="39">
        <f>F34*AP34</f>
        <v>0</v>
      </c>
      <c r="BJ34" s="39">
        <f>F34*G34</f>
        <v>0</v>
      </c>
      <c r="BK34" s="39"/>
      <c r="BL34" s="39">
        <v>731</v>
      </c>
      <c r="BW34" s="39">
        <v>21</v>
      </c>
      <c r="BX34" s="1" t="s">
        <v>177</v>
      </c>
    </row>
    <row r="35" spans="1:76" x14ac:dyDescent="0.25">
      <c r="A35" s="64" t="s">
        <v>4</v>
      </c>
      <c r="B35" s="42" t="s">
        <v>179</v>
      </c>
      <c r="C35" s="161" t="s">
        <v>180</v>
      </c>
      <c r="D35" s="162"/>
      <c r="E35" s="41" t="s">
        <v>77</v>
      </c>
      <c r="F35" s="41" t="s">
        <v>77</v>
      </c>
      <c r="G35" s="41" t="s">
        <v>77</v>
      </c>
      <c r="H35" s="43">
        <f>SUM(H36:H65)</f>
        <v>0</v>
      </c>
      <c r="I35" s="43">
        <f>SUM(I36:I65)</f>
        <v>0</v>
      </c>
      <c r="J35" s="43">
        <f>SUM(J36:J65)</f>
        <v>0</v>
      </c>
      <c r="K35" s="65" t="s">
        <v>4</v>
      </c>
      <c r="AI35" s="30" t="s">
        <v>4</v>
      </c>
      <c r="AS35" s="24">
        <f>SUM(AJ36:AJ65)</f>
        <v>0</v>
      </c>
      <c r="AT35" s="24">
        <f>SUM(AK36:AK65)</f>
        <v>0</v>
      </c>
      <c r="AU35" s="24">
        <f>SUM(AL36:AL65)</f>
        <v>0</v>
      </c>
    </row>
    <row r="36" spans="1:76" x14ac:dyDescent="0.25">
      <c r="A36" s="58" t="s">
        <v>181</v>
      </c>
      <c r="B36" s="44" t="s">
        <v>182</v>
      </c>
      <c r="C36" s="157" t="s">
        <v>183</v>
      </c>
      <c r="D36" s="158"/>
      <c r="E36" s="44" t="s">
        <v>184</v>
      </c>
      <c r="F36" s="45">
        <v>1</v>
      </c>
      <c r="G36" s="45">
        <v>0</v>
      </c>
      <c r="H36" s="45">
        <f t="shared" ref="H36:H65" si="22">F36*AO36</f>
        <v>0</v>
      </c>
      <c r="I36" s="45">
        <f t="shared" ref="I36:I65" si="23">F36*AP36</f>
        <v>0</v>
      </c>
      <c r="J36" s="45">
        <f t="shared" ref="J36:J65" si="24">F36*G36</f>
        <v>0</v>
      </c>
      <c r="K36" s="59" t="s">
        <v>119</v>
      </c>
      <c r="Z36" s="39">
        <f t="shared" ref="Z36:Z65" si="25">IF(AQ36="5",BJ36,0)</f>
        <v>0</v>
      </c>
      <c r="AB36" s="39">
        <f t="shared" ref="AB36:AB65" si="26">IF(AQ36="1",BH36,0)</f>
        <v>0</v>
      </c>
      <c r="AC36" s="39">
        <f t="shared" ref="AC36:AC65" si="27">IF(AQ36="1",BI36,0)</f>
        <v>0</v>
      </c>
      <c r="AD36" s="39">
        <f t="shared" ref="AD36:AD65" si="28">IF(AQ36="7",BH36,0)</f>
        <v>0</v>
      </c>
      <c r="AE36" s="39">
        <f t="shared" ref="AE36:AE65" si="29">IF(AQ36="7",BI36,0)</f>
        <v>0</v>
      </c>
      <c r="AF36" s="39">
        <f t="shared" ref="AF36:AF65" si="30">IF(AQ36="2",BH36,0)</f>
        <v>0</v>
      </c>
      <c r="AG36" s="39">
        <f t="shared" ref="AG36:AG65" si="31">IF(AQ36="2",BI36,0)</f>
        <v>0</v>
      </c>
      <c r="AH36" s="39">
        <f t="shared" ref="AH36:AH65" si="32">IF(AQ36="0",BJ36,0)</f>
        <v>0</v>
      </c>
      <c r="AI36" s="30" t="s">
        <v>4</v>
      </c>
      <c r="AJ36" s="39">
        <f t="shared" ref="AJ36:AJ65" si="33">IF(AN36=0,J36,0)</f>
        <v>0</v>
      </c>
      <c r="AK36" s="39">
        <f t="shared" ref="AK36:AK65" si="34">IF(AN36=12,J36,0)</f>
        <v>0</v>
      </c>
      <c r="AL36" s="39">
        <f t="shared" ref="AL36:AL65" si="35">IF(AN36=21,J36,0)</f>
        <v>0</v>
      </c>
      <c r="AN36" s="39">
        <v>21</v>
      </c>
      <c r="AO36" s="39">
        <f>G36*0.212640449</f>
        <v>0</v>
      </c>
      <c r="AP36" s="39">
        <f>G36*(1-0.212640449)</f>
        <v>0</v>
      </c>
      <c r="AQ36" s="40" t="s">
        <v>120</v>
      </c>
      <c r="AV36" s="39">
        <f t="shared" ref="AV36:AV65" si="36">AW36+AX36</f>
        <v>0</v>
      </c>
      <c r="AW36" s="39">
        <f t="shared" ref="AW36:AW65" si="37">F36*AO36</f>
        <v>0</v>
      </c>
      <c r="AX36" s="39">
        <f t="shared" ref="AX36:AX65" si="38">F36*AP36</f>
        <v>0</v>
      </c>
      <c r="AY36" s="40" t="s">
        <v>185</v>
      </c>
      <c r="AZ36" s="40" t="s">
        <v>122</v>
      </c>
      <c r="BA36" s="30" t="s">
        <v>123</v>
      </c>
      <c r="BC36" s="39">
        <f t="shared" ref="BC36:BC65" si="39">AW36+AX36</f>
        <v>0</v>
      </c>
      <c r="BD36" s="39">
        <f t="shared" ref="BD36:BD65" si="40">G36/(100-BE36)*100</f>
        <v>0</v>
      </c>
      <c r="BE36" s="39">
        <v>0</v>
      </c>
      <c r="BF36" s="39">
        <f>36</f>
        <v>36</v>
      </c>
      <c r="BH36" s="39">
        <f t="shared" ref="BH36:BH65" si="41">F36*AO36</f>
        <v>0</v>
      </c>
      <c r="BI36" s="39">
        <f t="shared" ref="BI36:BI65" si="42">F36*AP36</f>
        <v>0</v>
      </c>
      <c r="BJ36" s="39">
        <f t="shared" ref="BJ36:BJ65" si="43">F36*G36</f>
        <v>0</v>
      </c>
      <c r="BK36" s="39"/>
      <c r="BL36" s="39">
        <v>733</v>
      </c>
      <c r="BW36" s="39">
        <v>21</v>
      </c>
      <c r="BX36" s="1" t="s">
        <v>183</v>
      </c>
    </row>
    <row r="37" spans="1:76" x14ac:dyDescent="0.25">
      <c r="A37" s="58" t="s">
        <v>186</v>
      </c>
      <c r="B37" s="44" t="s">
        <v>187</v>
      </c>
      <c r="C37" s="157" t="s">
        <v>188</v>
      </c>
      <c r="D37" s="158"/>
      <c r="E37" s="44" t="s">
        <v>184</v>
      </c>
      <c r="F37" s="45">
        <v>25</v>
      </c>
      <c r="G37" s="45">
        <v>0</v>
      </c>
      <c r="H37" s="45">
        <f t="shared" si="22"/>
        <v>0</v>
      </c>
      <c r="I37" s="45">
        <f t="shared" si="23"/>
        <v>0</v>
      </c>
      <c r="J37" s="45">
        <f t="shared" si="24"/>
        <v>0</v>
      </c>
      <c r="K37" s="59" t="s">
        <v>119</v>
      </c>
      <c r="Z37" s="39">
        <f t="shared" si="25"/>
        <v>0</v>
      </c>
      <c r="AB37" s="39">
        <f t="shared" si="26"/>
        <v>0</v>
      </c>
      <c r="AC37" s="39">
        <f t="shared" si="27"/>
        <v>0</v>
      </c>
      <c r="AD37" s="39">
        <f t="shared" si="28"/>
        <v>0</v>
      </c>
      <c r="AE37" s="39">
        <f t="shared" si="29"/>
        <v>0</v>
      </c>
      <c r="AF37" s="39">
        <f t="shared" si="30"/>
        <v>0</v>
      </c>
      <c r="AG37" s="39">
        <f t="shared" si="31"/>
        <v>0</v>
      </c>
      <c r="AH37" s="39">
        <f t="shared" si="32"/>
        <v>0</v>
      </c>
      <c r="AI37" s="30" t="s">
        <v>4</v>
      </c>
      <c r="AJ37" s="39">
        <f t="shared" si="33"/>
        <v>0</v>
      </c>
      <c r="AK37" s="39">
        <f t="shared" si="34"/>
        <v>0</v>
      </c>
      <c r="AL37" s="39">
        <f t="shared" si="35"/>
        <v>0</v>
      </c>
      <c r="AN37" s="39">
        <v>21</v>
      </c>
      <c r="AO37" s="39">
        <f>G37*0.271753681</f>
        <v>0</v>
      </c>
      <c r="AP37" s="39">
        <f>G37*(1-0.271753681)</f>
        <v>0</v>
      </c>
      <c r="AQ37" s="40" t="s">
        <v>120</v>
      </c>
      <c r="AV37" s="39">
        <f t="shared" si="36"/>
        <v>0</v>
      </c>
      <c r="AW37" s="39">
        <f t="shared" si="37"/>
        <v>0</v>
      </c>
      <c r="AX37" s="39">
        <f t="shared" si="38"/>
        <v>0</v>
      </c>
      <c r="AY37" s="40" t="s">
        <v>185</v>
      </c>
      <c r="AZ37" s="40" t="s">
        <v>122</v>
      </c>
      <c r="BA37" s="30" t="s">
        <v>123</v>
      </c>
      <c r="BC37" s="39">
        <f t="shared" si="39"/>
        <v>0</v>
      </c>
      <c r="BD37" s="39">
        <f t="shared" si="40"/>
        <v>0</v>
      </c>
      <c r="BE37" s="39">
        <v>0</v>
      </c>
      <c r="BF37" s="39">
        <f>37</f>
        <v>37</v>
      </c>
      <c r="BH37" s="39">
        <f t="shared" si="41"/>
        <v>0</v>
      </c>
      <c r="BI37" s="39">
        <f t="shared" si="42"/>
        <v>0</v>
      </c>
      <c r="BJ37" s="39">
        <f t="shared" si="43"/>
        <v>0</v>
      </c>
      <c r="BK37" s="39"/>
      <c r="BL37" s="39">
        <v>733</v>
      </c>
      <c r="BW37" s="39">
        <v>21</v>
      </c>
      <c r="BX37" s="1" t="s">
        <v>188</v>
      </c>
    </row>
    <row r="38" spans="1:76" x14ac:dyDescent="0.25">
      <c r="A38" s="58" t="s">
        <v>189</v>
      </c>
      <c r="B38" s="44" t="s">
        <v>190</v>
      </c>
      <c r="C38" s="157" t="s">
        <v>191</v>
      </c>
      <c r="D38" s="158"/>
      <c r="E38" s="44" t="s">
        <v>184</v>
      </c>
      <c r="F38" s="45">
        <v>9</v>
      </c>
      <c r="G38" s="45">
        <v>0</v>
      </c>
      <c r="H38" s="45">
        <f t="shared" si="22"/>
        <v>0</v>
      </c>
      <c r="I38" s="45">
        <f t="shared" si="23"/>
        <v>0</v>
      </c>
      <c r="J38" s="45">
        <f t="shared" si="24"/>
        <v>0</v>
      </c>
      <c r="K38" s="59" t="s">
        <v>119</v>
      </c>
      <c r="Z38" s="39">
        <f t="shared" si="25"/>
        <v>0</v>
      </c>
      <c r="AB38" s="39">
        <f t="shared" si="26"/>
        <v>0</v>
      </c>
      <c r="AC38" s="39">
        <f t="shared" si="27"/>
        <v>0</v>
      </c>
      <c r="AD38" s="39">
        <f t="shared" si="28"/>
        <v>0</v>
      </c>
      <c r="AE38" s="39">
        <f t="shared" si="29"/>
        <v>0</v>
      </c>
      <c r="AF38" s="39">
        <f t="shared" si="30"/>
        <v>0</v>
      </c>
      <c r="AG38" s="39">
        <f t="shared" si="31"/>
        <v>0</v>
      </c>
      <c r="AH38" s="39">
        <f t="shared" si="32"/>
        <v>0</v>
      </c>
      <c r="AI38" s="30" t="s">
        <v>4</v>
      </c>
      <c r="AJ38" s="39">
        <f t="shared" si="33"/>
        <v>0</v>
      </c>
      <c r="AK38" s="39">
        <f t="shared" si="34"/>
        <v>0</v>
      </c>
      <c r="AL38" s="39">
        <f t="shared" si="35"/>
        <v>0</v>
      </c>
      <c r="AN38" s="39">
        <v>21</v>
      </c>
      <c r="AO38" s="39">
        <f>G38*0.414547414</f>
        <v>0</v>
      </c>
      <c r="AP38" s="39">
        <f>G38*(1-0.414547414)</f>
        <v>0</v>
      </c>
      <c r="AQ38" s="40" t="s">
        <v>120</v>
      </c>
      <c r="AV38" s="39">
        <f t="shared" si="36"/>
        <v>0</v>
      </c>
      <c r="AW38" s="39">
        <f t="shared" si="37"/>
        <v>0</v>
      </c>
      <c r="AX38" s="39">
        <f t="shared" si="38"/>
        <v>0</v>
      </c>
      <c r="AY38" s="40" t="s">
        <v>185</v>
      </c>
      <c r="AZ38" s="40" t="s">
        <v>122</v>
      </c>
      <c r="BA38" s="30" t="s">
        <v>123</v>
      </c>
      <c r="BC38" s="39">
        <f t="shared" si="39"/>
        <v>0</v>
      </c>
      <c r="BD38" s="39">
        <f t="shared" si="40"/>
        <v>0</v>
      </c>
      <c r="BE38" s="39">
        <v>0</v>
      </c>
      <c r="BF38" s="39">
        <f>38</f>
        <v>38</v>
      </c>
      <c r="BH38" s="39">
        <f t="shared" si="41"/>
        <v>0</v>
      </c>
      <c r="BI38" s="39">
        <f t="shared" si="42"/>
        <v>0</v>
      </c>
      <c r="BJ38" s="39">
        <f t="shared" si="43"/>
        <v>0</v>
      </c>
      <c r="BK38" s="39"/>
      <c r="BL38" s="39">
        <v>733</v>
      </c>
      <c r="BW38" s="39">
        <v>21</v>
      </c>
      <c r="BX38" s="1" t="s">
        <v>191</v>
      </c>
    </row>
    <row r="39" spans="1:76" x14ac:dyDescent="0.25">
      <c r="A39" s="58" t="s">
        <v>192</v>
      </c>
      <c r="B39" s="44" t="s">
        <v>193</v>
      </c>
      <c r="C39" s="157" t="s">
        <v>194</v>
      </c>
      <c r="D39" s="158"/>
      <c r="E39" s="44" t="s">
        <v>184</v>
      </c>
      <c r="F39" s="45">
        <v>1</v>
      </c>
      <c r="G39" s="45">
        <v>0</v>
      </c>
      <c r="H39" s="45">
        <f t="shared" si="22"/>
        <v>0</v>
      </c>
      <c r="I39" s="45">
        <f t="shared" si="23"/>
        <v>0</v>
      </c>
      <c r="J39" s="45">
        <f t="shared" si="24"/>
        <v>0</v>
      </c>
      <c r="K39" s="59" t="s">
        <v>119</v>
      </c>
      <c r="Z39" s="39">
        <f t="shared" si="25"/>
        <v>0</v>
      </c>
      <c r="AB39" s="39">
        <f t="shared" si="26"/>
        <v>0</v>
      </c>
      <c r="AC39" s="39">
        <f t="shared" si="27"/>
        <v>0</v>
      </c>
      <c r="AD39" s="39">
        <f t="shared" si="28"/>
        <v>0</v>
      </c>
      <c r="AE39" s="39">
        <f t="shared" si="29"/>
        <v>0</v>
      </c>
      <c r="AF39" s="39">
        <f t="shared" si="30"/>
        <v>0</v>
      </c>
      <c r="AG39" s="39">
        <f t="shared" si="31"/>
        <v>0</v>
      </c>
      <c r="AH39" s="39">
        <f t="shared" si="32"/>
        <v>0</v>
      </c>
      <c r="AI39" s="30" t="s">
        <v>4</v>
      </c>
      <c r="AJ39" s="39">
        <f t="shared" si="33"/>
        <v>0</v>
      </c>
      <c r="AK39" s="39">
        <f t="shared" si="34"/>
        <v>0</v>
      </c>
      <c r="AL39" s="39">
        <f t="shared" si="35"/>
        <v>0</v>
      </c>
      <c r="AN39" s="39">
        <v>21</v>
      </c>
      <c r="AO39" s="39">
        <f>G39*0.45134647</f>
        <v>0</v>
      </c>
      <c r="AP39" s="39">
        <f>G39*(1-0.45134647)</f>
        <v>0</v>
      </c>
      <c r="AQ39" s="40" t="s">
        <v>120</v>
      </c>
      <c r="AV39" s="39">
        <f t="shared" si="36"/>
        <v>0</v>
      </c>
      <c r="AW39" s="39">
        <f t="shared" si="37"/>
        <v>0</v>
      </c>
      <c r="AX39" s="39">
        <f t="shared" si="38"/>
        <v>0</v>
      </c>
      <c r="AY39" s="40" t="s">
        <v>185</v>
      </c>
      <c r="AZ39" s="40" t="s">
        <v>122</v>
      </c>
      <c r="BA39" s="30" t="s">
        <v>123</v>
      </c>
      <c r="BC39" s="39">
        <f t="shared" si="39"/>
        <v>0</v>
      </c>
      <c r="BD39" s="39">
        <f t="shared" si="40"/>
        <v>0</v>
      </c>
      <c r="BE39" s="39">
        <v>0</v>
      </c>
      <c r="BF39" s="39">
        <f>39</f>
        <v>39</v>
      </c>
      <c r="BH39" s="39">
        <f t="shared" si="41"/>
        <v>0</v>
      </c>
      <c r="BI39" s="39">
        <f t="shared" si="42"/>
        <v>0</v>
      </c>
      <c r="BJ39" s="39">
        <f t="shared" si="43"/>
        <v>0</v>
      </c>
      <c r="BK39" s="39"/>
      <c r="BL39" s="39">
        <v>733</v>
      </c>
      <c r="BW39" s="39">
        <v>21</v>
      </c>
      <c r="BX39" s="1" t="s">
        <v>194</v>
      </c>
    </row>
    <row r="40" spans="1:76" x14ac:dyDescent="0.25">
      <c r="A40" s="58" t="s">
        <v>195</v>
      </c>
      <c r="B40" s="44" t="s">
        <v>196</v>
      </c>
      <c r="C40" s="157" t="s">
        <v>197</v>
      </c>
      <c r="D40" s="158"/>
      <c r="E40" s="44" t="s">
        <v>184</v>
      </c>
      <c r="F40" s="45">
        <v>18</v>
      </c>
      <c r="G40" s="45">
        <v>0</v>
      </c>
      <c r="H40" s="45">
        <f t="shared" si="22"/>
        <v>0</v>
      </c>
      <c r="I40" s="45">
        <f t="shared" si="23"/>
        <v>0</v>
      </c>
      <c r="J40" s="45">
        <f t="shared" si="24"/>
        <v>0</v>
      </c>
      <c r="K40" s="59" t="s">
        <v>119</v>
      </c>
      <c r="Z40" s="39">
        <f t="shared" si="25"/>
        <v>0</v>
      </c>
      <c r="AB40" s="39">
        <f t="shared" si="26"/>
        <v>0</v>
      </c>
      <c r="AC40" s="39">
        <f t="shared" si="27"/>
        <v>0</v>
      </c>
      <c r="AD40" s="39">
        <f t="shared" si="28"/>
        <v>0</v>
      </c>
      <c r="AE40" s="39">
        <f t="shared" si="29"/>
        <v>0</v>
      </c>
      <c r="AF40" s="39">
        <f t="shared" si="30"/>
        <v>0</v>
      </c>
      <c r="AG40" s="39">
        <f t="shared" si="31"/>
        <v>0</v>
      </c>
      <c r="AH40" s="39">
        <f t="shared" si="32"/>
        <v>0</v>
      </c>
      <c r="AI40" s="30" t="s">
        <v>4</v>
      </c>
      <c r="AJ40" s="39">
        <f t="shared" si="33"/>
        <v>0</v>
      </c>
      <c r="AK40" s="39">
        <f t="shared" si="34"/>
        <v>0</v>
      </c>
      <c r="AL40" s="39">
        <f t="shared" si="35"/>
        <v>0</v>
      </c>
      <c r="AN40" s="39">
        <v>21</v>
      </c>
      <c r="AO40" s="39">
        <f>G40*0.507541899</f>
        <v>0</v>
      </c>
      <c r="AP40" s="39">
        <f>G40*(1-0.507541899)</f>
        <v>0</v>
      </c>
      <c r="AQ40" s="40" t="s">
        <v>120</v>
      </c>
      <c r="AV40" s="39">
        <f t="shared" si="36"/>
        <v>0</v>
      </c>
      <c r="AW40" s="39">
        <f t="shared" si="37"/>
        <v>0</v>
      </c>
      <c r="AX40" s="39">
        <f t="shared" si="38"/>
        <v>0</v>
      </c>
      <c r="AY40" s="40" t="s">
        <v>185</v>
      </c>
      <c r="AZ40" s="40" t="s">
        <v>122</v>
      </c>
      <c r="BA40" s="30" t="s">
        <v>123</v>
      </c>
      <c r="BC40" s="39">
        <f t="shared" si="39"/>
        <v>0</v>
      </c>
      <c r="BD40" s="39">
        <f t="shared" si="40"/>
        <v>0</v>
      </c>
      <c r="BE40" s="39">
        <v>0</v>
      </c>
      <c r="BF40" s="39">
        <f>40</f>
        <v>40</v>
      </c>
      <c r="BH40" s="39">
        <f t="shared" si="41"/>
        <v>0</v>
      </c>
      <c r="BI40" s="39">
        <f t="shared" si="42"/>
        <v>0</v>
      </c>
      <c r="BJ40" s="39">
        <f t="shared" si="43"/>
        <v>0</v>
      </c>
      <c r="BK40" s="39"/>
      <c r="BL40" s="39">
        <v>733</v>
      </c>
      <c r="BW40" s="39">
        <v>21</v>
      </c>
      <c r="BX40" s="1" t="s">
        <v>197</v>
      </c>
    </row>
    <row r="41" spans="1:76" x14ac:dyDescent="0.25">
      <c r="A41" s="58" t="s">
        <v>198</v>
      </c>
      <c r="B41" s="44" t="s">
        <v>199</v>
      </c>
      <c r="C41" s="157" t="s">
        <v>200</v>
      </c>
      <c r="D41" s="158"/>
      <c r="E41" s="44" t="s">
        <v>184</v>
      </c>
      <c r="F41" s="45">
        <v>7</v>
      </c>
      <c r="G41" s="45">
        <v>0</v>
      </c>
      <c r="H41" s="45">
        <f t="shared" si="22"/>
        <v>0</v>
      </c>
      <c r="I41" s="45">
        <f t="shared" si="23"/>
        <v>0</v>
      </c>
      <c r="J41" s="45">
        <f t="shared" si="24"/>
        <v>0</v>
      </c>
      <c r="K41" s="59" t="s">
        <v>119</v>
      </c>
      <c r="Z41" s="39">
        <f t="shared" si="25"/>
        <v>0</v>
      </c>
      <c r="AB41" s="39">
        <f t="shared" si="26"/>
        <v>0</v>
      </c>
      <c r="AC41" s="39">
        <f t="shared" si="27"/>
        <v>0</v>
      </c>
      <c r="AD41" s="39">
        <f t="shared" si="28"/>
        <v>0</v>
      </c>
      <c r="AE41" s="39">
        <f t="shared" si="29"/>
        <v>0</v>
      </c>
      <c r="AF41" s="39">
        <f t="shared" si="30"/>
        <v>0</v>
      </c>
      <c r="AG41" s="39">
        <f t="shared" si="31"/>
        <v>0</v>
      </c>
      <c r="AH41" s="39">
        <f t="shared" si="32"/>
        <v>0</v>
      </c>
      <c r="AI41" s="30" t="s">
        <v>4</v>
      </c>
      <c r="AJ41" s="39">
        <f t="shared" si="33"/>
        <v>0</v>
      </c>
      <c r="AK41" s="39">
        <f t="shared" si="34"/>
        <v>0</v>
      </c>
      <c r="AL41" s="39">
        <f t="shared" si="35"/>
        <v>0</v>
      </c>
      <c r="AN41" s="39">
        <v>21</v>
      </c>
      <c r="AO41" s="39">
        <f>G41*0.567510841</f>
        <v>0</v>
      </c>
      <c r="AP41" s="39">
        <f>G41*(1-0.567510841)</f>
        <v>0</v>
      </c>
      <c r="AQ41" s="40" t="s">
        <v>120</v>
      </c>
      <c r="AV41" s="39">
        <f t="shared" si="36"/>
        <v>0</v>
      </c>
      <c r="AW41" s="39">
        <f t="shared" si="37"/>
        <v>0</v>
      </c>
      <c r="AX41" s="39">
        <f t="shared" si="38"/>
        <v>0</v>
      </c>
      <c r="AY41" s="40" t="s">
        <v>185</v>
      </c>
      <c r="AZ41" s="40" t="s">
        <v>122</v>
      </c>
      <c r="BA41" s="30" t="s">
        <v>123</v>
      </c>
      <c r="BC41" s="39">
        <f t="shared" si="39"/>
        <v>0</v>
      </c>
      <c r="BD41" s="39">
        <f t="shared" si="40"/>
        <v>0</v>
      </c>
      <c r="BE41" s="39">
        <v>0</v>
      </c>
      <c r="BF41" s="39">
        <f>41</f>
        <v>41</v>
      </c>
      <c r="BH41" s="39">
        <f t="shared" si="41"/>
        <v>0</v>
      </c>
      <c r="BI41" s="39">
        <f t="shared" si="42"/>
        <v>0</v>
      </c>
      <c r="BJ41" s="39">
        <f t="shared" si="43"/>
        <v>0</v>
      </c>
      <c r="BK41" s="39"/>
      <c r="BL41" s="39">
        <v>733</v>
      </c>
      <c r="BW41" s="39">
        <v>21</v>
      </c>
      <c r="BX41" s="1" t="s">
        <v>200</v>
      </c>
    </row>
    <row r="42" spans="1:76" x14ac:dyDescent="0.25">
      <c r="A42" s="58" t="s">
        <v>201</v>
      </c>
      <c r="B42" s="44" t="s">
        <v>202</v>
      </c>
      <c r="C42" s="157" t="s">
        <v>203</v>
      </c>
      <c r="D42" s="158"/>
      <c r="E42" s="44" t="s">
        <v>184</v>
      </c>
      <c r="F42" s="45">
        <v>9</v>
      </c>
      <c r="G42" s="45">
        <v>0</v>
      </c>
      <c r="H42" s="45">
        <f t="shared" si="22"/>
        <v>0</v>
      </c>
      <c r="I42" s="45">
        <f t="shared" si="23"/>
        <v>0</v>
      </c>
      <c r="J42" s="45">
        <f t="shared" si="24"/>
        <v>0</v>
      </c>
      <c r="K42" s="59" t="s">
        <v>119</v>
      </c>
      <c r="Z42" s="39">
        <f t="shared" si="25"/>
        <v>0</v>
      </c>
      <c r="AB42" s="39">
        <f t="shared" si="26"/>
        <v>0</v>
      </c>
      <c r="AC42" s="39">
        <f t="shared" si="27"/>
        <v>0</v>
      </c>
      <c r="AD42" s="39">
        <f t="shared" si="28"/>
        <v>0</v>
      </c>
      <c r="AE42" s="39">
        <f t="shared" si="29"/>
        <v>0</v>
      </c>
      <c r="AF42" s="39">
        <f t="shared" si="30"/>
        <v>0</v>
      </c>
      <c r="AG42" s="39">
        <f t="shared" si="31"/>
        <v>0</v>
      </c>
      <c r="AH42" s="39">
        <f t="shared" si="32"/>
        <v>0</v>
      </c>
      <c r="AI42" s="30" t="s">
        <v>4</v>
      </c>
      <c r="AJ42" s="39">
        <f t="shared" si="33"/>
        <v>0</v>
      </c>
      <c r="AK42" s="39">
        <f t="shared" si="34"/>
        <v>0</v>
      </c>
      <c r="AL42" s="39">
        <f t="shared" si="35"/>
        <v>0</v>
      </c>
      <c r="AN42" s="39">
        <v>21</v>
      </c>
      <c r="AO42" s="39">
        <f>G42*0.600776923</f>
        <v>0</v>
      </c>
      <c r="AP42" s="39">
        <f>G42*(1-0.600776923)</f>
        <v>0</v>
      </c>
      <c r="AQ42" s="40" t="s">
        <v>120</v>
      </c>
      <c r="AV42" s="39">
        <f t="shared" si="36"/>
        <v>0</v>
      </c>
      <c r="AW42" s="39">
        <f t="shared" si="37"/>
        <v>0</v>
      </c>
      <c r="AX42" s="39">
        <f t="shared" si="38"/>
        <v>0</v>
      </c>
      <c r="AY42" s="40" t="s">
        <v>185</v>
      </c>
      <c r="AZ42" s="40" t="s">
        <v>122</v>
      </c>
      <c r="BA42" s="30" t="s">
        <v>123</v>
      </c>
      <c r="BC42" s="39">
        <f t="shared" si="39"/>
        <v>0</v>
      </c>
      <c r="BD42" s="39">
        <f t="shared" si="40"/>
        <v>0</v>
      </c>
      <c r="BE42" s="39">
        <v>0</v>
      </c>
      <c r="BF42" s="39">
        <f>42</f>
        <v>42</v>
      </c>
      <c r="BH42" s="39">
        <f t="shared" si="41"/>
        <v>0</v>
      </c>
      <c r="BI42" s="39">
        <f t="shared" si="42"/>
        <v>0</v>
      </c>
      <c r="BJ42" s="39">
        <f t="shared" si="43"/>
        <v>0</v>
      </c>
      <c r="BK42" s="39"/>
      <c r="BL42" s="39">
        <v>733</v>
      </c>
      <c r="BW42" s="39">
        <v>21</v>
      </c>
      <c r="BX42" s="1" t="s">
        <v>203</v>
      </c>
    </row>
    <row r="43" spans="1:76" x14ac:dyDescent="0.25">
      <c r="A43" s="58" t="s">
        <v>204</v>
      </c>
      <c r="B43" s="44" t="s">
        <v>205</v>
      </c>
      <c r="C43" s="157" t="s">
        <v>206</v>
      </c>
      <c r="D43" s="158"/>
      <c r="E43" s="44" t="s">
        <v>184</v>
      </c>
      <c r="F43" s="45">
        <v>1</v>
      </c>
      <c r="G43" s="45">
        <v>0</v>
      </c>
      <c r="H43" s="45">
        <f t="shared" si="22"/>
        <v>0</v>
      </c>
      <c r="I43" s="45">
        <f t="shared" si="23"/>
        <v>0</v>
      </c>
      <c r="J43" s="45">
        <f t="shared" si="24"/>
        <v>0</v>
      </c>
      <c r="K43" s="59" t="s">
        <v>119</v>
      </c>
      <c r="Z43" s="39">
        <f t="shared" si="25"/>
        <v>0</v>
      </c>
      <c r="AB43" s="39">
        <f t="shared" si="26"/>
        <v>0</v>
      </c>
      <c r="AC43" s="39">
        <f t="shared" si="27"/>
        <v>0</v>
      </c>
      <c r="AD43" s="39">
        <f t="shared" si="28"/>
        <v>0</v>
      </c>
      <c r="AE43" s="39">
        <f t="shared" si="29"/>
        <v>0</v>
      </c>
      <c r="AF43" s="39">
        <f t="shared" si="30"/>
        <v>0</v>
      </c>
      <c r="AG43" s="39">
        <f t="shared" si="31"/>
        <v>0</v>
      </c>
      <c r="AH43" s="39">
        <f t="shared" si="32"/>
        <v>0</v>
      </c>
      <c r="AI43" s="30" t="s">
        <v>4</v>
      </c>
      <c r="AJ43" s="39">
        <f t="shared" si="33"/>
        <v>0</v>
      </c>
      <c r="AK43" s="39">
        <f t="shared" si="34"/>
        <v>0</v>
      </c>
      <c r="AL43" s="39">
        <f t="shared" si="35"/>
        <v>0</v>
      </c>
      <c r="AN43" s="39">
        <v>21</v>
      </c>
      <c r="AO43" s="39">
        <f>G43*1</f>
        <v>0</v>
      </c>
      <c r="AP43" s="39">
        <f>G43*(1-1)</f>
        <v>0</v>
      </c>
      <c r="AQ43" s="40" t="s">
        <v>120</v>
      </c>
      <c r="AV43" s="39">
        <f t="shared" si="36"/>
        <v>0</v>
      </c>
      <c r="AW43" s="39">
        <f t="shared" si="37"/>
        <v>0</v>
      </c>
      <c r="AX43" s="39">
        <f t="shared" si="38"/>
        <v>0</v>
      </c>
      <c r="AY43" s="40" t="s">
        <v>185</v>
      </c>
      <c r="AZ43" s="40" t="s">
        <v>122</v>
      </c>
      <c r="BA43" s="30" t="s">
        <v>123</v>
      </c>
      <c r="BC43" s="39">
        <f t="shared" si="39"/>
        <v>0</v>
      </c>
      <c r="BD43" s="39">
        <f t="shared" si="40"/>
        <v>0</v>
      </c>
      <c r="BE43" s="39">
        <v>0</v>
      </c>
      <c r="BF43" s="39">
        <f>43</f>
        <v>43</v>
      </c>
      <c r="BH43" s="39">
        <f t="shared" si="41"/>
        <v>0</v>
      </c>
      <c r="BI43" s="39">
        <f t="shared" si="42"/>
        <v>0</v>
      </c>
      <c r="BJ43" s="39">
        <f t="shared" si="43"/>
        <v>0</v>
      </c>
      <c r="BK43" s="39"/>
      <c r="BL43" s="39">
        <v>733</v>
      </c>
      <c r="BW43" s="39">
        <v>21</v>
      </c>
      <c r="BX43" s="1" t="s">
        <v>206</v>
      </c>
    </row>
    <row r="44" spans="1:76" x14ac:dyDescent="0.25">
      <c r="A44" s="58" t="s">
        <v>207</v>
      </c>
      <c r="B44" s="44" t="s">
        <v>208</v>
      </c>
      <c r="C44" s="157" t="s">
        <v>209</v>
      </c>
      <c r="D44" s="158"/>
      <c r="E44" s="44" t="s">
        <v>184</v>
      </c>
      <c r="F44" s="45">
        <v>18</v>
      </c>
      <c r="G44" s="45">
        <v>0</v>
      </c>
      <c r="H44" s="45">
        <f t="shared" si="22"/>
        <v>0</v>
      </c>
      <c r="I44" s="45">
        <f t="shared" si="23"/>
        <v>0</v>
      </c>
      <c r="J44" s="45">
        <f t="shared" si="24"/>
        <v>0</v>
      </c>
      <c r="K44" s="59" t="s">
        <v>119</v>
      </c>
      <c r="Z44" s="39">
        <f t="shared" si="25"/>
        <v>0</v>
      </c>
      <c r="AB44" s="39">
        <f t="shared" si="26"/>
        <v>0</v>
      </c>
      <c r="AC44" s="39">
        <f t="shared" si="27"/>
        <v>0</v>
      </c>
      <c r="AD44" s="39">
        <f t="shared" si="28"/>
        <v>0</v>
      </c>
      <c r="AE44" s="39">
        <f t="shared" si="29"/>
        <v>0</v>
      </c>
      <c r="AF44" s="39">
        <f t="shared" si="30"/>
        <v>0</v>
      </c>
      <c r="AG44" s="39">
        <f t="shared" si="31"/>
        <v>0</v>
      </c>
      <c r="AH44" s="39">
        <f t="shared" si="32"/>
        <v>0</v>
      </c>
      <c r="AI44" s="30" t="s">
        <v>4</v>
      </c>
      <c r="AJ44" s="39">
        <f t="shared" si="33"/>
        <v>0</v>
      </c>
      <c r="AK44" s="39">
        <f t="shared" si="34"/>
        <v>0</v>
      </c>
      <c r="AL44" s="39">
        <f t="shared" si="35"/>
        <v>0</v>
      </c>
      <c r="AN44" s="39">
        <v>21</v>
      </c>
      <c r="AO44" s="39">
        <f>G44*1</f>
        <v>0</v>
      </c>
      <c r="AP44" s="39">
        <f>G44*(1-1)</f>
        <v>0</v>
      </c>
      <c r="AQ44" s="40" t="s">
        <v>120</v>
      </c>
      <c r="AV44" s="39">
        <f t="shared" si="36"/>
        <v>0</v>
      </c>
      <c r="AW44" s="39">
        <f t="shared" si="37"/>
        <v>0</v>
      </c>
      <c r="AX44" s="39">
        <f t="shared" si="38"/>
        <v>0</v>
      </c>
      <c r="AY44" s="40" t="s">
        <v>185</v>
      </c>
      <c r="AZ44" s="40" t="s">
        <v>122</v>
      </c>
      <c r="BA44" s="30" t="s">
        <v>123</v>
      </c>
      <c r="BC44" s="39">
        <f t="shared" si="39"/>
        <v>0</v>
      </c>
      <c r="BD44" s="39">
        <f t="shared" si="40"/>
        <v>0</v>
      </c>
      <c r="BE44" s="39">
        <v>0</v>
      </c>
      <c r="BF44" s="39">
        <f>44</f>
        <v>44</v>
      </c>
      <c r="BH44" s="39">
        <f t="shared" si="41"/>
        <v>0</v>
      </c>
      <c r="BI44" s="39">
        <f t="shared" si="42"/>
        <v>0</v>
      </c>
      <c r="BJ44" s="39">
        <f t="shared" si="43"/>
        <v>0</v>
      </c>
      <c r="BK44" s="39"/>
      <c r="BL44" s="39">
        <v>733</v>
      </c>
      <c r="BW44" s="39">
        <v>21</v>
      </c>
      <c r="BX44" s="1" t="s">
        <v>209</v>
      </c>
    </row>
    <row r="45" spans="1:76" x14ac:dyDescent="0.25">
      <c r="A45" s="58" t="s">
        <v>210</v>
      </c>
      <c r="B45" s="44" t="s">
        <v>211</v>
      </c>
      <c r="C45" s="157" t="s">
        <v>212</v>
      </c>
      <c r="D45" s="158"/>
      <c r="E45" s="44" t="s">
        <v>184</v>
      </c>
      <c r="F45" s="45">
        <v>7</v>
      </c>
      <c r="G45" s="45">
        <v>0</v>
      </c>
      <c r="H45" s="45">
        <f t="shared" si="22"/>
        <v>0</v>
      </c>
      <c r="I45" s="45">
        <f t="shared" si="23"/>
        <v>0</v>
      </c>
      <c r="J45" s="45">
        <f t="shared" si="24"/>
        <v>0</v>
      </c>
      <c r="K45" s="59" t="s">
        <v>119</v>
      </c>
      <c r="Z45" s="39">
        <f t="shared" si="25"/>
        <v>0</v>
      </c>
      <c r="AB45" s="39">
        <f t="shared" si="26"/>
        <v>0</v>
      </c>
      <c r="AC45" s="39">
        <f t="shared" si="27"/>
        <v>0</v>
      </c>
      <c r="AD45" s="39">
        <f t="shared" si="28"/>
        <v>0</v>
      </c>
      <c r="AE45" s="39">
        <f t="shared" si="29"/>
        <v>0</v>
      </c>
      <c r="AF45" s="39">
        <f t="shared" si="30"/>
        <v>0</v>
      </c>
      <c r="AG45" s="39">
        <f t="shared" si="31"/>
        <v>0</v>
      </c>
      <c r="AH45" s="39">
        <f t="shared" si="32"/>
        <v>0</v>
      </c>
      <c r="AI45" s="30" t="s">
        <v>4</v>
      </c>
      <c r="AJ45" s="39">
        <f t="shared" si="33"/>
        <v>0</v>
      </c>
      <c r="AK45" s="39">
        <f t="shared" si="34"/>
        <v>0</v>
      </c>
      <c r="AL45" s="39">
        <f t="shared" si="35"/>
        <v>0</v>
      </c>
      <c r="AN45" s="39">
        <v>21</v>
      </c>
      <c r="AO45" s="39">
        <f>G45*1</f>
        <v>0</v>
      </c>
      <c r="AP45" s="39">
        <f>G45*(1-1)</f>
        <v>0</v>
      </c>
      <c r="AQ45" s="40" t="s">
        <v>120</v>
      </c>
      <c r="AV45" s="39">
        <f t="shared" si="36"/>
        <v>0</v>
      </c>
      <c r="AW45" s="39">
        <f t="shared" si="37"/>
        <v>0</v>
      </c>
      <c r="AX45" s="39">
        <f t="shared" si="38"/>
        <v>0</v>
      </c>
      <c r="AY45" s="40" t="s">
        <v>185</v>
      </c>
      <c r="AZ45" s="40" t="s">
        <v>122</v>
      </c>
      <c r="BA45" s="30" t="s">
        <v>123</v>
      </c>
      <c r="BC45" s="39">
        <f t="shared" si="39"/>
        <v>0</v>
      </c>
      <c r="BD45" s="39">
        <f t="shared" si="40"/>
        <v>0</v>
      </c>
      <c r="BE45" s="39">
        <v>0</v>
      </c>
      <c r="BF45" s="39">
        <f>45</f>
        <v>45</v>
      </c>
      <c r="BH45" s="39">
        <f t="shared" si="41"/>
        <v>0</v>
      </c>
      <c r="BI45" s="39">
        <f t="shared" si="42"/>
        <v>0</v>
      </c>
      <c r="BJ45" s="39">
        <f t="shared" si="43"/>
        <v>0</v>
      </c>
      <c r="BK45" s="39"/>
      <c r="BL45" s="39">
        <v>733</v>
      </c>
      <c r="BW45" s="39">
        <v>21</v>
      </c>
      <c r="BX45" s="1" t="s">
        <v>212</v>
      </c>
    </row>
    <row r="46" spans="1:76" x14ac:dyDescent="0.25">
      <c r="A46" s="58" t="s">
        <v>213</v>
      </c>
      <c r="B46" s="44" t="s">
        <v>214</v>
      </c>
      <c r="C46" s="157" t="s">
        <v>215</v>
      </c>
      <c r="D46" s="158"/>
      <c r="E46" s="44" t="s">
        <v>184</v>
      </c>
      <c r="F46" s="45">
        <v>9</v>
      </c>
      <c r="G46" s="45">
        <v>0</v>
      </c>
      <c r="H46" s="45">
        <f t="shared" si="22"/>
        <v>0</v>
      </c>
      <c r="I46" s="45">
        <f t="shared" si="23"/>
        <v>0</v>
      </c>
      <c r="J46" s="45">
        <f t="shared" si="24"/>
        <v>0</v>
      </c>
      <c r="K46" s="59" t="s">
        <v>119</v>
      </c>
      <c r="Z46" s="39">
        <f t="shared" si="25"/>
        <v>0</v>
      </c>
      <c r="AB46" s="39">
        <f t="shared" si="26"/>
        <v>0</v>
      </c>
      <c r="AC46" s="39">
        <f t="shared" si="27"/>
        <v>0</v>
      </c>
      <c r="AD46" s="39">
        <f t="shared" si="28"/>
        <v>0</v>
      </c>
      <c r="AE46" s="39">
        <f t="shared" si="29"/>
        <v>0</v>
      </c>
      <c r="AF46" s="39">
        <f t="shared" si="30"/>
        <v>0</v>
      </c>
      <c r="AG46" s="39">
        <f t="shared" si="31"/>
        <v>0</v>
      </c>
      <c r="AH46" s="39">
        <f t="shared" si="32"/>
        <v>0</v>
      </c>
      <c r="AI46" s="30" t="s">
        <v>4</v>
      </c>
      <c r="AJ46" s="39">
        <f t="shared" si="33"/>
        <v>0</v>
      </c>
      <c r="AK46" s="39">
        <f t="shared" si="34"/>
        <v>0</v>
      </c>
      <c r="AL46" s="39">
        <f t="shared" si="35"/>
        <v>0</v>
      </c>
      <c r="AN46" s="39">
        <v>21</v>
      </c>
      <c r="AO46" s="39">
        <f>G46*1</f>
        <v>0</v>
      </c>
      <c r="AP46" s="39">
        <f>G46*(1-1)</f>
        <v>0</v>
      </c>
      <c r="AQ46" s="40" t="s">
        <v>120</v>
      </c>
      <c r="AV46" s="39">
        <f t="shared" si="36"/>
        <v>0</v>
      </c>
      <c r="AW46" s="39">
        <f t="shared" si="37"/>
        <v>0</v>
      </c>
      <c r="AX46" s="39">
        <f t="shared" si="38"/>
        <v>0</v>
      </c>
      <c r="AY46" s="40" t="s">
        <v>185</v>
      </c>
      <c r="AZ46" s="40" t="s">
        <v>122</v>
      </c>
      <c r="BA46" s="30" t="s">
        <v>123</v>
      </c>
      <c r="BC46" s="39">
        <f t="shared" si="39"/>
        <v>0</v>
      </c>
      <c r="BD46" s="39">
        <f t="shared" si="40"/>
        <v>0</v>
      </c>
      <c r="BE46" s="39">
        <v>0</v>
      </c>
      <c r="BF46" s="39">
        <f>46</f>
        <v>46</v>
      </c>
      <c r="BH46" s="39">
        <f t="shared" si="41"/>
        <v>0</v>
      </c>
      <c r="BI46" s="39">
        <f t="shared" si="42"/>
        <v>0</v>
      </c>
      <c r="BJ46" s="39">
        <f t="shared" si="43"/>
        <v>0</v>
      </c>
      <c r="BK46" s="39"/>
      <c r="BL46" s="39">
        <v>733</v>
      </c>
      <c r="BW46" s="39">
        <v>21</v>
      </c>
      <c r="BX46" s="1" t="s">
        <v>215</v>
      </c>
    </row>
    <row r="47" spans="1:76" x14ac:dyDescent="0.25">
      <c r="A47" s="58" t="s">
        <v>216</v>
      </c>
      <c r="B47" s="44" t="s">
        <v>217</v>
      </c>
      <c r="C47" s="157" t="s">
        <v>218</v>
      </c>
      <c r="D47" s="158"/>
      <c r="E47" s="44" t="s">
        <v>118</v>
      </c>
      <c r="F47" s="45">
        <v>2</v>
      </c>
      <c r="G47" s="45">
        <v>0</v>
      </c>
      <c r="H47" s="45">
        <f t="shared" si="22"/>
        <v>0</v>
      </c>
      <c r="I47" s="45">
        <f t="shared" si="23"/>
        <v>0</v>
      </c>
      <c r="J47" s="45">
        <f t="shared" si="24"/>
        <v>0</v>
      </c>
      <c r="K47" s="59" t="s">
        <v>119</v>
      </c>
      <c r="Z47" s="39">
        <f t="shared" si="25"/>
        <v>0</v>
      </c>
      <c r="AB47" s="39">
        <f t="shared" si="26"/>
        <v>0</v>
      </c>
      <c r="AC47" s="39">
        <f t="shared" si="27"/>
        <v>0</v>
      </c>
      <c r="AD47" s="39">
        <f t="shared" si="28"/>
        <v>0</v>
      </c>
      <c r="AE47" s="39">
        <f t="shared" si="29"/>
        <v>0</v>
      </c>
      <c r="AF47" s="39">
        <f t="shared" si="30"/>
        <v>0</v>
      </c>
      <c r="AG47" s="39">
        <f t="shared" si="31"/>
        <v>0</v>
      </c>
      <c r="AH47" s="39">
        <f t="shared" si="32"/>
        <v>0</v>
      </c>
      <c r="AI47" s="30" t="s">
        <v>4</v>
      </c>
      <c r="AJ47" s="39">
        <f t="shared" si="33"/>
        <v>0</v>
      </c>
      <c r="AK47" s="39">
        <f t="shared" si="34"/>
        <v>0</v>
      </c>
      <c r="AL47" s="39">
        <f t="shared" si="35"/>
        <v>0</v>
      </c>
      <c r="AN47" s="39">
        <v>21</v>
      </c>
      <c r="AO47" s="39">
        <f>G47*0</f>
        <v>0</v>
      </c>
      <c r="AP47" s="39">
        <f>G47*(1-0)</f>
        <v>0</v>
      </c>
      <c r="AQ47" s="40" t="s">
        <v>120</v>
      </c>
      <c r="AV47" s="39">
        <f t="shared" si="36"/>
        <v>0</v>
      </c>
      <c r="AW47" s="39">
        <f t="shared" si="37"/>
        <v>0</v>
      </c>
      <c r="AX47" s="39">
        <f t="shared" si="38"/>
        <v>0</v>
      </c>
      <c r="AY47" s="40" t="s">
        <v>185</v>
      </c>
      <c r="AZ47" s="40" t="s">
        <v>122</v>
      </c>
      <c r="BA47" s="30" t="s">
        <v>123</v>
      </c>
      <c r="BC47" s="39">
        <f t="shared" si="39"/>
        <v>0</v>
      </c>
      <c r="BD47" s="39">
        <f t="shared" si="40"/>
        <v>0</v>
      </c>
      <c r="BE47" s="39">
        <v>0</v>
      </c>
      <c r="BF47" s="39">
        <f>47</f>
        <v>47</v>
      </c>
      <c r="BH47" s="39">
        <f t="shared" si="41"/>
        <v>0</v>
      </c>
      <c r="BI47" s="39">
        <f t="shared" si="42"/>
        <v>0</v>
      </c>
      <c r="BJ47" s="39">
        <f t="shared" si="43"/>
        <v>0</v>
      </c>
      <c r="BK47" s="39"/>
      <c r="BL47" s="39">
        <v>733</v>
      </c>
      <c r="BW47" s="39">
        <v>21</v>
      </c>
      <c r="BX47" s="1" t="s">
        <v>218</v>
      </c>
    </row>
    <row r="48" spans="1:76" x14ac:dyDescent="0.25">
      <c r="A48" s="58" t="s">
        <v>219</v>
      </c>
      <c r="B48" s="44" t="s">
        <v>220</v>
      </c>
      <c r="C48" s="157" t="s">
        <v>221</v>
      </c>
      <c r="D48" s="158"/>
      <c r="E48" s="44" t="s">
        <v>118</v>
      </c>
      <c r="F48" s="45">
        <v>4</v>
      </c>
      <c r="G48" s="45">
        <v>0</v>
      </c>
      <c r="H48" s="45">
        <f t="shared" si="22"/>
        <v>0</v>
      </c>
      <c r="I48" s="45">
        <f t="shared" si="23"/>
        <v>0</v>
      </c>
      <c r="J48" s="45">
        <f t="shared" si="24"/>
        <v>0</v>
      </c>
      <c r="K48" s="59" t="s">
        <v>119</v>
      </c>
      <c r="Z48" s="39">
        <f t="shared" si="25"/>
        <v>0</v>
      </c>
      <c r="AB48" s="39">
        <f t="shared" si="26"/>
        <v>0</v>
      </c>
      <c r="AC48" s="39">
        <f t="shared" si="27"/>
        <v>0</v>
      </c>
      <c r="AD48" s="39">
        <f t="shared" si="28"/>
        <v>0</v>
      </c>
      <c r="AE48" s="39">
        <f t="shared" si="29"/>
        <v>0</v>
      </c>
      <c r="AF48" s="39">
        <f t="shared" si="30"/>
        <v>0</v>
      </c>
      <c r="AG48" s="39">
        <f t="shared" si="31"/>
        <v>0</v>
      </c>
      <c r="AH48" s="39">
        <f t="shared" si="32"/>
        <v>0</v>
      </c>
      <c r="AI48" s="30" t="s">
        <v>4</v>
      </c>
      <c r="AJ48" s="39">
        <f t="shared" si="33"/>
        <v>0</v>
      </c>
      <c r="AK48" s="39">
        <f t="shared" si="34"/>
        <v>0</v>
      </c>
      <c r="AL48" s="39">
        <f t="shared" si="35"/>
        <v>0</v>
      </c>
      <c r="AN48" s="39">
        <v>21</v>
      </c>
      <c r="AO48" s="39">
        <f>G48*0</f>
        <v>0</v>
      </c>
      <c r="AP48" s="39">
        <f>G48*(1-0)</f>
        <v>0</v>
      </c>
      <c r="AQ48" s="40" t="s">
        <v>120</v>
      </c>
      <c r="AV48" s="39">
        <f t="shared" si="36"/>
        <v>0</v>
      </c>
      <c r="AW48" s="39">
        <f t="shared" si="37"/>
        <v>0</v>
      </c>
      <c r="AX48" s="39">
        <f t="shared" si="38"/>
        <v>0</v>
      </c>
      <c r="AY48" s="40" t="s">
        <v>185</v>
      </c>
      <c r="AZ48" s="40" t="s">
        <v>122</v>
      </c>
      <c r="BA48" s="30" t="s">
        <v>123</v>
      </c>
      <c r="BC48" s="39">
        <f t="shared" si="39"/>
        <v>0</v>
      </c>
      <c r="BD48" s="39">
        <f t="shared" si="40"/>
        <v>0</v>
      </c>
      <c r="BE48" s="39">
        <v>0</v>
      </c>
      <c r="BF48" s="39">
        <f>48</f>
        <v>48</v>
      </c>
      <c r="BH48" s="39">
        <f t="shared" si="41"/>
        <v>0</v>
      </c>
      <c r="BI48" s="39">
        <f t="shared" si="42"/>
        <v>0</v>
      </c>
      <c r="BJ48" s="39">
        <f t="shared" si="43"/>
        <v>0</v>
      </c>
      <c r="BK48" s="39"/>
      <c r="BL48" s="39">
        <v>733</v>
      </c>
      <c r="BW48" s="39">
        <v>21</v>
      </c>
      <c r="BX48" s="1" t="s">
        <v>221</v>
      </c>
    </row>
    <row r="49" spans="1:76" x14ac:dyDescent="0.25">
      <c r="A49" s="58" t="s">
        <v>222</v>
      </c>
      <c r="B49" s="44" t="s">
        <v>223</v>
      </c>
      <c r="C49" s="157" t="s">
        <v>224</v>
      </c>
      <c r="D49" s="158"/>
      <c r="E49" s="44" t="s">
        <v>118</v>
      </c>
      <c r="F49" s="45">
        <v>2</v>
      </c>
      <c r="G49" s="45">
        <v>0</v>
      </c>
      <c r="H49" s="45">
        <f t="shared" si="22"/>
        <v>0</v>
      </c>
      <c r="I49" s="45">
        <f t="shared" si="23"/>
        <v>0</v>
      </c>
      <c r="J49" s="45">
        <f t="shared" si="24"/>
        <v>0</v>
      </c>
      <c r="K49" s="59" t="s">
        <v>119</v>
      </c>
      <c r="Z49" s="39">
        <f t="shared" si="25"/>
        <v>0</v>
      </c>
      <c r="AB49" s="39">
        <f t="shared" si="26"/>
        <v>0</v>
      </c>
      <c r="AC49" s="39">
        <f t="shared" si="27"/>
        <v>0</v>
      </c>
      <c r="AD49" s="39">
        <f t="shared" si="28"/>
        <v>0</v>
      </c>
      <c r="AE49" s="39">
        <f t="shared" si="29"/>
        <v>0</v>
      </c>
      <c r="AF49" s="39">
        <f t="shared" si="30"/>
        <v>0</v>
      </c>
      <c r="AG49" s="39">
        <f t="shared" si="31"/>
        <v>0</v>
      </c>
      <c r="AH49" s="39">
        <f t="shared" si="32"/>
        <v>0</v>
      </c>
      <c r="AI49" s="30" t="s">
        <v>4</v>
      </c>
      <c r="AJ49" s="39">
        <f t="shared" si="33"/>
        <v>0</v>
      </c>
      <c r="AK49" s="39">
        <f t="shared" si="34"/>
        <v>0</v>
      </c>
      <c r="AL49" s="39">
        <f t="shared" si="35"/>
        <v>0</v>
      </c>
      <c r="AN49" s="39">
        <v>21</v>
      </c>
      <c r="AO49" s="39">
        <f>G49*0</f>
        <v>0</v>
      </c>
      <c r="AP49" s="39">
        <f>G49*(1-0)</f>
        <v>0</v>
      </c>
      <c r="AQ49" s="40" t="s">
        <v>120</v>
      </c>
      <c r="AV49" s="39">
        <f t="shared" si="36"/>
        <v>0</v>
      </c>
      <c r="AW49" s="39">
        <f t="shared" si="37"/>
        <v>0</v>
      </c>
      <c r="AX49" s="39">
        <f t="shared" si="38"/>
        <v>0</v>
      </c>
      <c r="AY49" s="40" t="s">
        <v>185</v>
      </c>
      <c r="AZ49" s="40" t="s">
        <v>122</v>
      </c>
      <c r="BA49" s="30" t="s">
        <v>123</v>
      </c>
      <c r="BC49" s="39">
        <f t="shared" si="39"/>
        <v>0</v>
      </c>
      <c r="BD49" s="39">
        <f t="shared" si="40"/>
        <v>0</v>
      </c>
      <c r="BE49" s="39">
        <v>0</v>
      </c>
      <c r="BF49" s="39">
        <f>49</f>
        <v>49</v>
      </c>
      <c r="BH49" s="39">
        <f t="shared" si="41"/>
        <v>0</v>
      </c>
      <c r="BI49" s="39">
        <f t="shared" si="42"/>
        <v>0</v>
      </c>
      <c r="BJ49" s="39">
        <f t="shared" si="43"/>
        <v>0</v>
      </c>
      <c r="BK49" s="39"/>
      <c r="BL49" s="39">
        <v>733</v>
      </c>
      <c r="BW49" s="39">
        <v>21</v>
      </c>
      <c r="BX49" s="1" t="s">
        <v>224</v>
      </c>
    </row>
    <row r="50" spans="1:76" x14ac:dyDescent="0.25">
      <c r="A50" s="62" t="s">
        <v>225</v>
      </c>
      <c r="B50" s="49" t="s">
        <v>226</v>
      </c>
      <c r="C50" s="159" t="s">
        <v>227</v>
      </c>
      <c r="D50" s="160"/>
      <c r="E50" s="49" t="s">
        <v>118</v>
      </c>
      <c r="F50" s="50">
        <v>2</v>
      </c>
      <c r="G50" s="50">
        <v>0</v>
      </c>
      <c r="H50" s="50">
        <f t="shared" si="22"/>
        <v>0</v>
      </c>
      <c r="I50" s="50">
        <f t="shared" si="23"/>
        <v>0</v>
      </c>
      <c r="J50" s="50">
        <f t="shared" si="24"/>
        <v>0</v>
      </c>
      <c r="K50" s="63" t="s">
        <v>119</v>
      </c>
      <c r="Z50" s="39">
        <f t="shared" si="25"/>
        <v>0</v>
      </c>
      <c r="AB50" s="39">
        <f t="shared" si="26"/>
        <v>0</v>
      </c>
      <c r="AC50" s="39">
        <f t="shared" si="27"/>
        <v>0</v>
      </c>
      <c r="AD50" s="39">
        <f t="shared" si="28"/>
        <v>0</v>
      </c>
      <c r="AE50" s="39">
        <f t="shared" si="29"/>
        <v>0</v>
      </c>
      <c r="AF50" s="39">
        <f t="shared" si="30"/>
        <v>0</v>
      </c>
      <c r="AG50" s="39">
        <f t="shared" si="31"/>
        <v>0</v>
      </c>
      <c r="AH50" s="39">
        <f t="shared" si="32"/>
        <v>0</v>
      </c>
      <c r="AI50" s="30" t="s">
        <v>4</v>
      </c>
      <c r="AJ50" s="39">
        <f t="shared" si="33"/>
        <v>0</v>
      </c>
      <c r="AK50" s="39">
        <f t="shared" si="34"/>
        <v>0</v>
      </c>
      <c r="AL50" s="39">
        <f t="shared" si="35"/>
        <v>0</v>
      </c>
      <c r="AN50" s="39">
        <v>21</v>
      </c>
      <c r="AO50" s="39">
        <f>G50*0</f>
        <v>0</v>
      </c>
      <c r="AP50" s="39">
        <f>G50*(1-0)</f>
        <v>0</v>
      </c>
      <c r="AQ50" s="40" t="s">
        <v>120</v>
      </c>
      <c r="AV50" s="39">
        <f t="shared" si="36"/>
        <v>0</v>
      </c>
      <c r="AW50" s="39">
        <f t="shared" si="37"/>
        <v>0</v>
      </c>
      <c r="AX50" s="39">
        <f t="shared" si="38"/>
        <v>0</v>
      </c>
      <c r="AY50" s="40" t="s">
        <v>185</v>
      </c>
      <c r="AZ50" s="40" t="s">
        <v>122</v>
      </c>
      <c r="BA50" s="30" t="s">
        <v>123</v>
      </c>
      <c r="BC50" s="39">
        <f t="shared" si="39"/>
        <v>0</v>
      </c>
      <c r="BD50" s="39">
        <f t="shared" si="40"/>
        <v>0</v>
      </c>
      <c r="BE50" s="39">
        <v>0</v>
      </c>
      <c r="BF50" s="39">
        <f>50</f>
        <v>50</v>
      </c>
      <c r="BH50" s="39">
        <f t="shared" si="41"/>
        <v>0</v>
      </c>
      <c r="BI50" s="39">
        <f t="shared" si="42"/>
        <v>0</v>
      </c>
      <c r="BJ50" s="39">
        <f t="shared" si="43"/>
        <v>0</v>
      </c>
      <c r="BK50" s="39"/>
      <c r="BL50" s="39">
        <v>733</v>
      </c>
      <c r="BW50" s="39">
        <v>21</v>
      </c>
      <c r="BX50" s="1" t="s">
        <v>227</v>
      </c>
    </row>
    <row r="51" spans="1:76" x14ac:dyDescent="0.25">
      <c r="A51" s="62" t="s">
        <v>228</v>
      </c>
      <c r="B51" s="49" t="s">
        <v>229</v>
      </c>
      <c r="C51" s="159" t="s">
        <v>230</v>
      </c>
      <c r="D51" s="160"/>
      <c r="E51" s="49" t="s">
        <v>118</v>
      </c>
      <c r="F51" s="50">
        <v>2</v>
      </c>
      <c r="G51" s="50">
        <v>0</v>
      </c>
      <c r="H51" s="50">
        <f t="shared" si="22"/>
        <v>0</v>
      </c>
      <c r="I51" s="50">
        <f t="shared" si="23"/>
        <v>0</v>
      </c>
      <c r="J51" s="50">
        <f t="shared" si="24"/>
        <v>0</v>
      </c>
      <c r="K51" s="63" t="s">
        <v>119</v>
      </c>
      <c r="Z51" s="39">
        <f t="shared" si="25"/>
        <v>0</v>
      </c>
      <c r="AB51" s="39">
        <f t="shared" si="26"/>
        <v>0</v>
      </c>
      <c r="AC51" s="39">
        <f t="shared" si="27"/>
        <v>0</v>
      </c>
      <c r="AD51" s="39">
        <f t="shared" si="28"/>
        <v>0</v>
      </c>
      <c r="AE51" s="39">
        <f t="shared" si="29"/>
        <v>0</v>
      </c>
      <c r="AF51" s="39">
        <f t="shared" si="30"/>
        <v>0</v>
      </c>
      <c r="AG51" s="39">
        <f t="shared" si="31"/>
        <v>0</v>
      </c>
      <c r="AH51" s="39">
        <f t="shared" si="32"/>
        <v>0</v>
      </c>
      <c r="AI51" s="30" t="s">
        <v>4</v>
      </c>
      <c r="AJ51" s="39">
        <f t="shared" si="33"/>
        <v>0</v>
      </c>
      <c r="AK51" s="39">
        <f t="shared" si="34"/>
        <v>0</v>
      </c>
      <c r="AL51" s="39">
        <f t="shared" si="35"/>
        <v>0</v>
      </c>
      <c r="AN51" s="39">
        <v>21</v>
      </c>
      <c r="AO51" s="39">
        <f>G51*0</f>
        <v>0</v>
      </c>
      <c r="AP51" s="39">
        <f>G51*(1-0)</f>
        <v>0</v>
      </c>
      <c r="AQ51" s="40" t="s">
        <v>120</v>
      </c>
      <c r="AV51" s="39">
        <f t="shared" si="36"/>
        <v>0</v>
      </c>
      <c r="AW51" s="39">
        <f t="shared" si="37"/>
        <v>0</v>
      </c>
      <c r="AX51" s="39">
        <f t="shared" si="38"/>
        <v>0</v>
      </c>
      <c r="AY51" s="40" t="s">
        <v>185</v>
      </c>
      <c r="AZ51" s="40" t="s">
        <v>122</v>
      </c>
      <c r="BA51" s="30" t="s">
        <v>123</v>
      </c>
      <c r="BC51" s="39">
        <f t="shared" si="39"/>
        <v>0</v>
      </c>
      <c r="BD51" s="39">
        <f t="shared" si="40"/>
        <v>0</v>
      </c>
      <c r="BE51" s="39">
        <v>0</v>
      </c>
      <c r="BF51" s="39">
        <f>51</f>
        <v>51</v>
      </c>
      <c r="BH51" s="39">
        <f t="shared" si="41"/>
        <v>0</v>
      </c>
      <c r="BI51" s="39">
        <f t="shared" si="42"/>
        <v>0</v>
      </c>
      <c r="BJ51" s="39">
        <f t="shared" si="43"/>
        <v>0</v>
      </c>
      <c r="BK51" s="39"/>
      <c r="BL51" s="39">
        <v>733</v>
      </c>
      <c r="BW51" s="39">
        <v>21</v>
      </c>
      <c r="BX51" s="1" t="s">
        <v>230</v>
      </c>
    </row>
    <row r="52" spans="1:76" x14ac:dyDescent="0.25">
      <c r="A52" s="58" t="s">
        <v>231</v>
      </c>
      <c r="B52" s="44" t="s">
        <v>232</v>
      </c>
      <c r="C52" s="157" t="s">
        <v>233</v>
      </c>
      <c r="D52" s="158"/>
      <c r="E52" s="44" t="s">
        <v>184</v>
      </c>
      <c r="F52" s="45">
        <v>1</v>
      </c>
      <c r="G52" s="45">
        <v>0</v>
      </c>
      <c r="H52" s="45">
        <f t="shared" si="22"/>
        <v>0</v>
      </c>
      <c r="I52" s="45">
        <f t="shared" si="23"/>
        <v>0</v>
      </c>
      <c r="J52" s="45">
        <f t="shared" si="24"/>
        <v>0</v>
      </c>
      <c r="K52" s="59" t="s">
        <v>119</v>
      </c>
      <c r="Z52" s="39">
        <f t="shared" si="25"/>
        <v>0</v>
      </c>
      <c r="AB52" s="39">
        <f t="shared" si="26"/>
        <v>0</v>
      </c>
      <c r="AC52" s="39">
        <f t="shared" si="27"/>
        <v>0</v>
      </c>
      <c r="AD52" s="39">
        <f t="shared" si="28"/>
        <v>0</v>
      </c>
      <c r="AE52" s="39">
        <f t="shared" si="29"/>
        <v>0</v>
      </c>
      <c r="AF52" s="39">
        <f t="shared" si="30"/>
        <v>0</v>
      </c>
      <c r="AG52" s="39">
        <f t="shared" si="31"/>
        <v>0</v>
      </c>
      <c r="AH52" s="39">
        <f t="shared" si="32"/>
        <v>0</v>
      </c>
      <c r="AI52" s="30" t="s">
        <v>4</v>
      </c>
      <c r="AJ52" s="39">
        <f t="shared" si="33"/>
        <v>0</v>
      </c>
      <c r="AK52" s="39">
        <f t="shared" si="34"/>
        <v>0</v>
      </c>
      <c r="AL52" s="39">
        <f t="shared" si="35"/>
        <v>0</v>
      </c>
      <c r="AN52" s="39">
        <v>21</v>
      </c>
      <c r="AO52" s="39">
        <f>G52*0.024528302</f>
        <v>0</v>
      </c>
      <c r="AP52" s="39">
        <f>G52*(1-0.024528302)</f>
        <v>0</v>
      </c>
      <c r="AQ52" s="40" t="s">
        <v>120</v>
      </c>
      <c r="AV52" s="39">
        <f t="shared" si="36"/>
        <v>0</v>
      </c>
      <c r="AW52" s="39">
        <f t="shared" si="37"/>
        <v>0</v>
      </c>
      <c r="AX52" s="39">
        <f t="shared" si="38"/>
        <v>0</v>
      </c>
      <c r="AY52" s="40" t="s">
        <v>185</v>
      </c>
      <c r="AZ52" s="40" t="s">
        <v>122</v>
      </c>
      <c r="BA52" s="30" t="s">
        <v>123</v>
      </c>
      <c r="BC52" s="39">
        <f t="shared" si="39"/>
        <v>0</v>
      </c>
      <c r="BD52" s="39">
        <f t="shared" si="40"/>
        <v>0</v>
      </c>
      <c r="BE52" s="39">
        <v>0</v>
      </c>
      <c r="BF52" s="39">
        <f>52</f>
        <v>52</v>
      </c>
      <c r="BH52" s="39">
        <f t="shared" si="41"/>
        <v>0</v>
      </c>
      <c r="BI52" s="39">
        <f t="shared" si="42"/>
        <v>0</v>
      </c>
      <c r="BJ52" s="39">
        <f t="shared" si="43"/>
        <v>0</v>
      </c>
      <c r="BK52" s="39"/>
      <c r="BL52" s="39">
        <v>733</v>
      </c>
      <c r="BW52" s="39">
        <v>21</v>
      </c>
      <c r="BX52" s="1" t="s">
        <v>233</v>
      </c>
    </row>
    <row r="53" spans="1:76" x14ac:dyDescent="0.25">
      <c r="A53" s="58" t="s">
        <v>234</v>
      </c>
      <c r="B53" s="44" t="s">
        <v>235</v>
      </c>
      <c r="C53" s="157" t="s">
        <v>236</v>
      </c>
      <c r="D53" s="158"/>
      <c r="E53" s="44" t="s">
        <v>184</v>
      </c>
      <c r="F53" s="45">
        <v>18</v>
      </c>
      <c r="G53" s="45">
        <v>0</v>
      </c>
      <c r="H53" s="45">
        <f t="shared" si="22"/>
        <v>0</v>
      </c>
      <c r="I53" s="45">
        <f t="shared" si="23"/>
        <v>0</v>
      </c>
      <c r="J53" s="45">
        <f t="shared" si="24"/>
        <v>0</v>
      </c>
      <c r="K53" s="59" t="s">
        <v>119</v>
      </c>
      <c r="Z53" s="39">
        <f t="shared" si="25"/>
        <v>0</v>
      </c>
      <c r="AB53" s="39">
        <f t="shared" si="26"/>
        <v>0</v>
      </c>
      <c r="AC53" s="39">
        <f t="shared" si="27"/>
        <v>0</v>
      </c>
      <c r="AD53" s="39">
        <f t="shared" si="28"/>
        <v>0</v>
      </c>
      <c r="AE53" s="39">
        <f t="shared" si="29"/>
        <v>0</v>
      </c>
      <c r="AF53" s="39">
        <f t="shared" si="30"/>
        <v>0</v>
      </c>
      <c r="AG53" s="39">
        <f t="shared" si="31"/>
        <v>0</v>
      </c>
      <c r="AH53" s="39">
        <f t="shared" si="32"/>
        <v>0</v>
      </c>
      <c r="AI53" s="30" t="s">
        <v>4</v>
      </c>
      <c r="AJ53" s="39">
        <f t="shared" si="33"/>
        <v>0</v>
      </c>
      <c r="AK53" s="39">
        <f t="shared" si="34"/>
        <v>0</v>
      </c>
      <c r="AL53" s="39">
        <f t="shared" si="35"/>
        <v>0</v>
      </c>
      <c r="AN53" s="39">
        <v>21</v>
      </c>
      <c r="AO53" s="39">
        <f>G53*0.025806452</f>
        <v>0</v>
      </c>
      <c r="AP53" s="39">
        <f>G53*(1-0.025806452)</f>
        <v>0</v>
      </c>
      <c r="AQ53" s="40" t="s">
        <v>120</v>
      </c>
      <c r="AV53" s="39">
        <f t="shared" si="36"/>
        <v>0</v>
      </c>
      <c r="AW53" s="39">
        <f t="shared" si="37"/>
        <v>0</v>
      </c>
      <c r="AX53" s="39">
        <f t="shared" si="38"/>
        <v>0</v>
      </c>
      <c r="AY53" s="40" t="s">
        <v>185</v>
      </c>
      <c r="AZ53" s="40" t="s">
        <v>122</v>
      </c>
      <c r="BA53" s="30" t="s">
        <v>123</v>
      </c>
      <c r="BC53" s="39">
        <f t="shared" si="39"/>
        <v>0</v>
      </c>
      <c r="BD53" s="39">
        <f t="shared" si="40"/>
        <v>0</v>
      </c>
      <c r="BE53" s="39">
        <v>0</v>
      </c>
      <c r="BF53" s="39">
        <f>53</f>
        <v>53</v>
      </c>
      <c r="BH53" s="39">
        <f t="shared" si="41"/>
        <v>0</v>
      </c>
      <c r="BI53" s="39">
        <f t="shared" si="42"/>
        <v>0</v>
      </c>
      <c r="BJ53" s="39">
        <f t="shared" si="43"/>
        <v>0</v>
      </c>
      <c r="BK53" s="39"/>
      <c r="BL53" s="39">
        <v>733</v>
      </c>
      <c r="BW53" s="39">
        <v>21</v>
      </c>
      <c r="BX53" s="1" t="s">
        <v>236</v>
      </c>
    </row>
    <row r="54" spans="1:76" x14ac:dyDescent="0.25">
      <c r="A54" s="58" t="s">
        <v>237</v>
      </c>
      <c r="B54" s="44" t="s">
        <v>238</v>
      </c>
      <c r="C54" s="157" t="s">
        <v>239</v>
      </c>
      <c r="D54" s="158"/>
      <c r="E54" s="44" t="s">
        <v>184</v>
      </c>
      <c r="F54" s="45">
        <v>7</v>
      </c>
      <c r="G54" s="45">
        <v>0</v>
      </c>
      <c r="H54" s="45">
        <f t="shared" si="22"/>
        <v>0</v>
      </c>
      <c r="I54" s="45">
        <f t="shared" si="23"/>
        <v>0</v>
      </c>
      <c r="J54" s="45">
        <f t="shared" si="24"/>
        <v>0</v>
      </c>
      <c r="K54" s="59" t="s">
        <v>119</v>
      </c>
      <c r="Z54" s="39">
        <f t="shared" si="25"/>
        <v>0</v>
      </c>
      <c r="AB54" s="39">
        <f t="shared" si="26"/>
        <v>0</v>
      </c>
      <c r="AC54" s="39">
        <f t="shared" si="27"/>
        <v>0</v>
      </c>
      <c r="AD54" s="39">
        <f t="shared" si="28"/>
        <v>0</v>
      </c>
      <c r="AE54" s="39">
        <f t="shared" si="29"/>
        <v>0</v>
      </c>
      <c r="AF54" s="39">
        <f t="shared" si="30"/>
        <v>0</v>
      </c>
      <c r="AG54" s="39">
        <f t="shared" si="31"/>
        <v>0</v>
      </c>
      <c r="AH54" s="39">
        <f t="shared" si="32"/>
        <v>0</v>
      </c>
      <c r="AI54" s="30" t="s">
        <v>4</v>
      </c>
      <c r="AJ54" s="39">
        <f t="shared" si="33"/>
        <v>0</v>
      </c>
      <c r="AK54" s="39">
        <f t="shared" si="34"/>
        <v>0</v>
      </c>
      <c r="AL54" s="39">
        <f t="shared" si="35"/>
        <v>0</v>
      </c>
      <c r="AN54" s="39">
        <v>21</v>
      </c>
      <c r="AO54" s="39">
        <f>G54*0.026455026</f>
        <v>0</v>
      </c>
      <c r="AP54" s="39">
        <f>G54*(1-0.026455026)</f>
        <v>0</v>
      </c>
      <c r="AQ54" s="40" t="s">
        <v>120</v>
      </c>
      <c r="AV54" s="39">
        <f t="shared" si="36"/>
        <v>0</v>
      </c>
      <c r="AW54" s="39">
        <f t="shared" si="37"/>
        <v>0</v>
      </c>
      <c r="AX54" s="39">
        <f t="shared" si="38"/>
        <v>0</v>
      </c>
      <c r="AY54" s="40" t="s">
        <v>185</v>
      </c>
      <c r="AZ54" s="40" t="s">
        <v>122</v>
      </c>
      <c r="BA54" s="30" t="s">
        <v>123</v>
      </c>
      <c r="BC54" s="39">
        <f t="shared" si="39"/>
        <v>0</v>
      </c>
      <c r="BD54" s="39">
        <f t="shared" si="40"/>
        <v>0</v>
      </c>
      <c r="BE54" s="39">
        <v>0</v>
      </c>
      <c r="BF54" s="39">
        <f>54</f>
        <v>54</v>
      </c>
      <c r="BH54" s="39">
        <f t="shared" si="41"/>
        <v>0</v>
      </c>
      <c r="BI54" s="39">
        <f t="shared" si="42"/>
        <v>0</v>
      </c>
      <c r="BJ54" s="39">
        <f t="shared" si="43"/>
        <v>0</v>
      </c>
      <c r="BK54" s="39"/>
      <c r="BL54" s="39">
        <v>733</v>
      </c>
      <c r="BW54" s="39">
        <v>21</v>
      </c>
      <c r="BX54" s="1" t="s">
        <v>239</v>
      </c>
    </row>
    <row r="55" spans="1:76" x14ac:dyDescent="0.25">
      <c r="A55" s="58" t="s">
        <v>240</v>
      </c>
      <c r="B55" s="44" t="s">
        <v>241</v>
      </c>
      <c r="C55" s="157" t="s">
        <v>242</v>
      </c>
      <c r="D55" s="158"/>
      <c r="E55" s="44" t="s">
        <v>184</v>
      </c>
      <c r="F55" s="45">
        <v>9</v>
      </c>
      <c r="G55" s="45">
        <v>0</v>
      </c>
      <c r="H55" s="45">
        <f t="shared" si="22"/>
        <v>0</v>
      </c>
      <c r="I55" s="45">
        <f t="shared" si="23"/>
        <v>0</v>
      </c>
      <c r="J55" s="45">
        <f t="shared" si="24"/>
        <v>0</v>
      </c>
      <c r="K55" s="59" t="s">
        <v>119</v>
      </c>
      <c r="Z55" s="39">
        <f t="shared" si="25"/>
        <v>0</v>
      </c>
      <c r="AB55" s="39">
        <f t="shared" si="26"/>
        <v>0</v>
      </c>
      <c r="AC55" s="39">
        <f t="shared" si="27"/>
        <v>0</v>
      </c>
      <c r="AD55" s="39">
        <f t="shared" si="28"/>
        <v>0</v>
      </c>
      <c r="AE55" s="39">
        <f t="shared" si="29"/>
        <v>0</v>
      </c>
      <c r="AF55" s="39">
        <f t="shared" si="30"/>
        <v>0</v>
      </c>
      <c r="AG55" s="39">
        <f t="shared" si="31"/>
        <v>0</v>
      </c>
      <c r="AH55" s="39">
        <f t="shared" si="32"/>
        <v>0</v>
      </c>
      <c r="AI55" s="30" t="s">
        <v>4</v>
      </c>
      <c r="AJ55" s="39">
        <f t="shared" si="33"/>
        <v>0</v>
      </c>
      <c r="AK55" s="39">
        <f t="shared" si="34"/>
        <v>0</v>
      </c>
      <c r="AL55" s="39">
        <f t="shared" si="35"/>
        <v>0</v>
      </c>
      <c r="AN55" s="39">
        <v>21</v>
      </c>
      <c r="AO55" s="39">
        <f>G55*0.022519084</f>
        <v>0</v>
      </c>
      <c r="AP55" s="39">
        <f>G55*(1-0.022519084)</f>
        <v>0</v>
      </c>
      <c r="AQ55" s="40" t="s">
        <v>120</v>
      </c>
      <c r="AV55" s="39">
        <f t="shared" si="36"/>
        <v>0</v>
      </c>
      <c r="AW55" s="39">
        <f t="shared" si="37"/>
        <v>0</v>
      </c>
      <c r="AX55" s="39">
        <f t="shared" si="38"/>
        <v>0</v>
      </c>
      <c r="AY55" s="40" t="s">
        <v>185</v>
      </c>
      <c r="AZ55" s="40" t="s">
        <v>122</v>
      </c>
      <c r="BA55" s="30" t="s">
        <v>123</v>
      </c>
      <c r="BC55" s="39">
        <f t="shared" si="39"/>
        <v>0</v>
      </c>
      <c r="BD55" s="39">
        <f t="shared" si="40"/>
        <v>0</v>
      </c>
      <c r="BE55" s="39">
        <v>0</v>
      </c>
      <c r="BF55" s="39">
        <f>55</f>
        <v>55</v>
      </c>
      <c r="BH55" s="39">
        <f t="shared" si="41"/>
        <v>0</v>
      </c>
      <c r="BI55" s="39">
        <f t="shared" si="42"/>
        <v>0</v>
      </c>
      <c r="BJ55" s="39">
        <f t="shared" si="43"/>
        <v>0</v>
      </c>
      <c r="BK55" s="39"/>
      <c r="BL55" s="39">
        <v>733</v>
      </c>
      <c r="BW55" s="39">
        <v>21</v>
      </c>
      <c r="BX55" s="1" t="s">
        <v>242</v>
      </c>
    </row>
    <row r="56" spans="1:76" x14ac:dyDescent="0.25">
      <c r="A56" s="58" t="s">
        <v>243</v>
      </c>
      <c r="B56" s="44" t="s">
        <v>244</v>
      </c>
      <c r="C56" s="157" t="s">
        <v>245</v>
      </c>
      <c r="D56" s="158"/>
      <c r="E56" s="44" t="s">
        <v>184</v>
      </c>
      <c r="F56" s="45">
        <v>26</v>
      </c>
      <c r="G56" s="45">
        <v>0</v>
      </c>
      <c r="H56" s="45">
        <f t="shared" si="22"/>
        <v>0</v>
      </c>
      <c r="I56" s="45">
        <f t="shared" si="23"/>
        <v>0</v>
      </c>
      <c r="J56" s="45">
        <f t="shared" si="24"/>
        <v>0</v>
      </c>
      <c r="K56" s="59" t="s">
        <v>119</v>
      </c>
      <c r="Z56" s="39">
        <f t="shared" si="25"/>
        <v>0</v>
      </c>
      <c r="AB56" s="39">
        <f t="shared" si="26"/>
        <v>0</v>
      </c>
      <c r="AC56" s="39">
        <f t="shared" si="27"/>
        <v>0</v>
      </c>
      <c r="AD56" s="39">
        <f t="shared" si="28"/>
        <v>0</v>
      </c>
      <c r="AE56" s="39">
        <f t="shared" si="29"/>
        <v>0</v>
      </c>
      <c r="AF56" s="39">
        <f t="shared" si="30"/>
        <v>0</v>
      </c>
      <c r="AG56" s="39">
        <f t="shared" si="31"/>
        <v>0</v>
      </c>
      <c r="AH56" s="39">
        <f t="shared" si="32"/>
        <v>0</v>
      </c>
      <c r="AI56" s="30" t="s">
        <v>4</v>
      </c>
      <c r="AJ56" s="39">
        <f t="shared" si="33"/>
        <v>0</v>
      </c>
      <c r="AK56" s="39">
        <f t="shared" si="34"/>
        <v>0</v>
      </c>
      <c r="AL56" s="39">
        <f t="shared" si="35"/>
        <v>0</v>
      </c>
      <c r="AN56" s="39">
        <v>21</v>
      </c>
      <c r="AO56" s="39">
        <f>G56*0</f>
        <v>0</v>
      </c>
      <c r="AP56" s="39">
        <f>G56*(1-0)</f>
        <v>0</v>
      </c>
      <c r="AQ56" s="40" t="s">
        <v>120</v>
      </c>
      <c r="AV56" s="39">
        <f t="shared" si="36"/>
        <v>0</v>
      </c>
      <c r="AW56" s="39">
        <f t="shared" si="37"/>
        <v>0</v>
      </c>
      <c r="AX56" s="39">
        <f t="shared" si="38"/>
        <v>0</v>
      </c>
      <c r="AY56" s="40" t="s">
        <v>185</v>
      </c>
      <c r="AZ56" s="40" t="s">
        <v>122</v>
      </c>
      <c r="BA56" s="30" t="s">
        <v>123</v>
      </c>
      <c r="BC56" s="39">
        <f t="shared" si="39"/>
        <v>0</v>
      </c>
      <c r="BD56" s="39">
        <f t="shared" si="40"/>
        <v>0</v>
      </c>
      <c r="BE56" s="39">
        <v>0</v>
      </c>
      <c r="BF56" s="39">
        <f>56</f>
        <v>56</v>
      </c>
      <c r="BH56" s="39">
        <f t="shared" si="41"/>
        <v>0</v>
      </c>
      <c r="BI56" s="39">
        <f t="shared" si="42"/>
        <v>0</v>
      </c>
      <c r="BJ56" s="39">
        <f t="shared" si="43"/>
        <v>0</v>
      </c>
      <c r="BK56" s="39"/>
      <c r="BL56" s="39">
        <v>733</v>
      </c>
      <c r="BW56" s="39">
        <v>21</v>
      </c>
      <c r="BX56" s="1" t="s">
        <v>245</v>
      </c>
    </row>
    <row r="57" spans="1:76" x14ac:dyDescent="0.25">
      <c r="A57" s="58" t="s">
        <v>246</v>
      </c>
      <c r="B57" s="44" t="s">
        <v>247</v>
      </c>
      <c r="C57" s="157" t="s">
        <v>248</v>
      </c>
      <c r="D57" s="158"/>
      <c r="E57" s="44" t="s">
        <v>184</v>
      </c>
      <c r="F57" s="45">
        <v>12</v>
      </c>
      <c r="G57" s="45">
        <v>0</v>
      </c>
      <c r="H57" s="45">
        <f t="shared" si="22"/>
        <v>0</v>
      </c>
      <c r="I57" s="45">
        <f t="shared" si="23"/>
        <v>0</v>
      </c>
      <c r="J57" s="45">
        <f t="shared" si="24"/>
        <v>0</v>
      </c>
      <c r="K57" s="59" t="s">
        <v>119</v>
      </c>
      <c r="Z57" s="39">
        <f t="shared" si="25"/>
        <v>0</v>
      </c>
      <c r="AB57" s="39">
        <f t="shared" si="26"/>
        <v>0</v>
      </c>
      <c r="AC57" s="39">
        <f t="shared" si="27"/>
        <v>0</v>
      </c>
      <c r="AD57" s="39">
        <f t="shared" si="28"/>
        <v>0</v>
      </c>
      <c r="AE57" s="39">
        <f t="shared" si="29"/>
        <v>0</v>
      </c>
      <c r="AF57" s="39">
        <f t="shared" si="30"/>
        <v>0</v>
      </c>
      <c r="AG57" s="39">
        <f t="shared" si="31"/>
        <v>0</v>
      </c>
      <c r="AH57" s="39">
        <f t="shared" si="32"/>
        <v>0</v>
      </c>
      <c r="AI57" s="30" t="s">
        <v>4</v>
      </c>
      <c r="AJ57" s="39">
        <f t="shared" si="33"/>
        <v>0</v>
      </c>
      <c r="AK57" s="39">
        <f t="shared" si="34"/>
        <v>0</v>
      </c>
      <c r="AL57" s="39">
        <f t="shared" si="35"/>
        <v>0</v>
      </c>
      <c r="AN57" s="39">
        <v>21</v>
      </c>
      <c r="AO57" s="39">
        <f>G57*0.665619718</f>
        <v>0</v>
      </c>
      <c r="AP57" s="39">
        <f>G57*(1-0.665619718)</f>
        <v>0</v>
      </c>
      <c r="AQ57" s="40" t="s">
        <v>120</v>
      </c>
      <c r="AV57" s="39">
        <f t="shared" si="36"/>
        <v>0</v>
      </c>
      <c r="AW57" s="39">
        <f t="shared" si="37"/>
        <v>0</v>
      </c>
      <c r="AX57" s="39">
        <f t="shared" si="38"/>
        <v>0</v>
      </c>
      <c r="AY57" s="40" t="s">
        <v>185</v>
      </c>
      <c r="AZ57" s="40" t="s">
        <v>122</v>
      </c>
      <c r="BA57" s="30" t="s">
        <v>123</v>
      </c>
      <c r="BC57" s="39">
        <f t="shared" si="39"/>
        <v>0</v>
      </c>
      <c r="BD57" s="39">
        <f t="shared" si="40"/>
        <v>0</v>
      </c>
      <c r="BE57" s="39">
        <v>0</v>
      </c>
      <c r="BF57" s="39">
        <f>57</f>
        <v>57</v>
      </c>
      <c r="BH57" s="39">
        <f t="shared" si="41"/>
        <v>0</v>
      </c>
      <c r="BI57" s="39">
        <f t="shared" si="42"/>
        <v>0</v>
      </c>
      <c r="BJ57" s="39">
        <f t="shared" si="43"/>
        <v>0</v>
      </c>
      <c r="BK57" s="39"/>
      <c r="BL57" s="39">
        <v>733</v>
      </c>
      <c r="BW57" s="39">
        <v>21</v>
      </c>
      <c r="BX57" s="1" t="s">
        <v>248</v>
      </c>
    </row>
    <row r="58" spans="1:76" x14ac:dyDescent="0.25">
      <c r="A58" s="58" t="s">
        <v>249</v>
      </c>
      <c r="B58" s="44" t="s">
        <v>250</v>
      </c>
      <c r="C58" s="157" t="s">
        <v>251</v>
      </c>
      <c r="D58" s="158"/>
      <c r="E58" s="44" t="s">
        <v>184</v>
      </c>
      <c r="F58" s="45">
        <v>14</v>
      </c>
      <c r="G58" s="45">
        <v>0</v>
      </c>
      <c r="H58" s="45">
        <f t="shared" si="22"/>
        <v>0</v>
      </c>
      <c r="I58" s="45">
        <f t="shared" si="23"/>
        <v>0</v>
      </c>
      <c r="J58" s="45">
        <f t="shared" si="24"/>
        <v>0</v>
      </c>
      <c r="K58" s="59" t="s">
        <v>119</v>
      </c>
      <c r="Z58" s="39">
        <f t="shared" si="25"/>
        <v>0</v>
      </c>
      <c r="AB58" s="39">
        <f t="shared" si="26"/>
        <v>0</v>
      </c>
      <c r="AC58" s="39">
        <f t="shared" si="27"/>
        <v>0</v>
      </c>
      <c r="AD58" s="39">
        <f t="shared" si="28"/>
        <v>0</v>
      </c>
      <c r="AE58" s="39">
        <f t="shared" si="29"/>
        <v>0</v>
      </c>
      <c r="AF58" s="39">
        <f t="shared" si="30"/>
        <v>0</v>
      </c>
      <c r="AG58" s="39">
        <f t="shared" si="31"/>
        <v>0</v>
      </c>
      <c r="AH58" s="39">
        <f t="shared" si="32"/>
        <v>0</v>
      </c>
      <c r="AI58" s="30" t="s">
        <v>4</v>
      </c>
      <c r="AJ58" s="39">
        <f t="shared" si="33"/>
        <v>0</v>
      </c>
      <c r="AK58" s="39">
        <f t="shared" si="34"/>
        <v>0</v>
      </c>
      <c r="AL58" s="39">
        <f t="shared" si="35"/>
        <v>0</v>
      </c>
      <c r="AN58" s="39">
        <v>21</v>
      </c>
      <c r="AO58" s="39">
        <f>G58*0.702313131</f>
        <v>0</v>
      </c>
      <c r="AP58" s="39">
        <f>G58*(1-0.702313131)</f>
        <v>0</v>
      </c>
      <c r="AQ58" s="40" t="s">
        <v>120</v>
      </c>
      <c r="AV58" s="39">
        <f t="shared" si="36"/>
        <v>0</v>
      </c>
      <c r="AW58" s="39">
        <f t="shared" si="37"/>
        <v>0</v>
      </c>
      <c r="AX58" s="39">
        <f t="shared" si="38"/>
        <v>0</v>
      </c>
      <c r="AY58" s="40" t="s">
        <v>185</v>
      </c>
      <c r="AZ58" s="40" t="s">
        <v>122</v>
      </c>
      <c r="BA58" s="30" t="s">
        <v>123</v>
      </c>
      <c r="BC58" s="39">
        <f t="shared" si="39"/>
        <v>0</v>
      </c>
      <c r="BD58" s="39">
        <f t="shared" si="40"/>
        <v>0</v>
      </c>
      <c r="BE58" s="39">
        <v>0</v>
      </c>
      <c r="BF58" s="39">
        <f>58</f>
        <v>58</v>
      </c>
      <c r="BH58" s="39">
        <f t="shared" si="41"/>
        <v>0</v>
      </c>
      <c r="BI58" s="39">
        <f t="shared" si="42"/>
        <v>0</v>
      </c>
      <c r="BJ58" s="39">
        <f t="shared" si="43"/>
        <v>0</v>
      </c>
      <c r="BK58" s="39"/>
      <c r="BL58" s="39">
        <v>733</v>
      </c>
      <c r="BW58" s="39">
        <v>21</v>
      </c>
      <c r="BX58" s="1" t="s">
        <v>251</v>
      </c>
    </row>
    <row r="59" spans="1:76" x14ac:dyDescent="0.25">
      <c r="A59" s="58" t="s">
        <v>252</v>
      </c>
      <c r="B59" s="44" t="s">
        <v>253</v>
      </c>
      <c r="C59" s="157" t="s">
        <v>254</v>
      </c>
      <c r="D59" s="158"/>
      <c r="E59" s="44" t="s">
        <v>184</v>
      </c>
      <c r="F59" s="45">
        <v>12</v>
      </c>
      <c r="G59" s="45">
        <v>0</v>
      </c>
      <c r="H59" s="45">
        <f t="shared" si="22"/>
        <v>0</v>
      </c>
      <c r="I59" s="45">
        <f t="shared" si="23"/>
        <v>0</v>
      </c>
      <c r="J59" s="45">
        <f t="shared" si="24"/>
        <v>0</v>
      </c>
      <c r="K59" s="59" t="s">
        <v>119</v>
      </c>
      <c r="Z59" s="39">
        <f t="shared" si="25"/>
        <v>0</v>
      </c>
      <c r="AB59" s="39">
        <f t="shared" si="26"/>
        <v>0</v>
      </c>
      <c r="AC59" s="39">
        <f t="shared" si="27"/>
        <v>0</v>
      </c>
      <c r="AD59" s="39">
        <f t="shared" si="28"/>
        <v>0</v>
      </c>
      <c r="AE59" s="39">
        <f t="shared" si="29"/>
        <v>0</v>
      </c>
      <c r="AF59" s="39">
        <f t="shared" si="30"/>
        <v>0</v>
      </c>
      <c r="AG59" s="39">
        <f t="shared" si="31"/>
        <v>0</v>
      </c>
      <c r="AH59" s="39">
        <f t="shared" si="32"/>
        <v>0</v>
      </c>
      <c r="AI59" s="30" t="s">
        <v>4</v>
      </c>
      <c r="AJ59" s="39">
        <f t="shared" si="33"/>
        <v>0</v>
      </c>
      <c r="AK59" s="39">
        <f t="shared" si="34"/>
        <v>0</v>
      </c>
      <c r="AL59" s="39">
        <f t="shared" si="35"/>
        <v>0</v>
      </c>
      <c r="AN59" s="39">
        <v>21</v>
      </c>
      <c r="AO59" s="39">
        <f>G59*0.579593909</f>
        <v>0</v>
      </c>
      <c r="AP59" s="39">
        <f>G59*(1-0.579593909)</f>
        <v>0</v>
      </c>
      <c r="AQ59" s="40" t="s">
        <v>120</v>
      </c>
      <c r="AV59" s="39">
        <f t="shared" si="36"/>
        <v>0</v>
      </c>
      <c r="AW59" s="39">
        <f t="shared" si="37"/>
        <v>0</v>
      </c>
      <c r="AX59" s="39">
        <f t="shared" si="38"/>
        <v>0</v>
      </c>
      <c r="AY59" s="40" t="s">
        <v>185</v>
      </c>
      <c r="AZ59" s="40" t="s">
        <v>122</v>
      </c>
      <c r="BA59" s="30" t="s">
        <v>123</v>
      </c>
      <c r="BC59" s="39">
        <f t="shared" si="39"/>
        <v>0</v>
      </c>
      <c r="BD59" s="39">
        <f t="shared" si="40"/>
        <v>0</v>
      </c>
      <c r="BE59" s="39">
        <v>0</v>
      </c>
      <c r="BF59" s="39">
        <f>59</f>
        <v>59</v>
      </c>
      <c r="BH59" s="39">
        <f t="shared" si="41"/>
        <v>0</v>
      </c>
      <c r="BI59" s="39">
        <f t="shared" si="42"/>
        <v>0</v>
      </c>
      <c r="BJ59" s="39">
        <f t="shared" si="43"/>
        <v>0</v>
      </c>
      <c r="BK59" s="39"/>
      <c r="BL59" s="39">
        <v>733</v>
      </c>
      <c r="BW59" s="39">
        <v>21</v>
      </c>
      <c r="BX59" s="1" t="s">
        <v>254</v>
      </c>
    </row>
    <row r="60" spans="1:76" x14ac:dyDescent="0.25">
      <c r="A60" s="58" t="s">
        <v>255</v>
      </c>
      <c r="B60" s="44" t="s">
        <v>256</v>
      </c>
      <c r="C60" s="157" t="s">
        <v>257</v>
      </c>
      <c r="D60" s="158"/>
      <c r="E60" s="44" t="s">
        <v>184</v>
      </c>
      <c r="F60" s="45">
        <v>14</v>
      </c>
      <c r="G60" s="45">
        <v>0</v>
      </c>
      <c r="H60" s="45">
        <f t="shared" si="22"/>
        <v>0</v>
      </c>
      <c r="I60" s="45">
        <f t="shared" si="23"/>
        <v>0</v>
      </c>
      <c r="J60" s="45">
        <f t="shared" si="24"/>
        <v>0</v>
      </c>
      <c r="K60" s="59" t="s">
        <v>119</v>
      </c>
      <c r="Z60" s="39">
        <f t="shared" si="25"/>
        <v>0</v>
      </c>
      <c r="AB60" s="39">
        <f t="shared" si="26"/>
        <v>0</v>
      </c>
      <c r="AC60" s="39">
        <f t="shared" si="27"/>
        <v>0</v>
      </c>
      <c r="AD60" s="39">
        <f t="shared" si="28"/>
        <v>0</v>
      </c>
      <c r="AE60" s="39">
        <f t="shared" si="29"/>
        <v>0</v>
      </c>
      <c r="AF60" s="39">
        <f t="shared" si="30"/>
        <v>0</v>
      </c>
      <c r="AG60" s="39">
        <f t="shared" si="31"/>
        <v>0</v>
      </c>
      <c r="AH60" s="39">
        <f t="shared" si="32"/>
        <v>0</v>
      </c>
      <c r="AI60" s="30" t="s">
        <v>4</v>
      </c>
      <c r="AJ60" s="39">
        <f t="shared" si="33"/>
        <v>0</v>
      </c>
      <c r="AK60" s="39">
        <f t="shared" si="34"/>
        <v>0</v>
      </c>
      <c r="AL60" s="39">
        <f t="shared" si="35"/>
        <v>0</v>
      </c>
      <c r="AN60" s="39">
        <v>21</v>
      </c>
      <c r="AO60" s="39">
        <f>G60*0.5968</f>
        <v>0</v>
      </c>
      <c r="AP60" s="39">
        <f>G60*(1-0.5968)</f>
        <v>0</v>
      </c>
      <c r="AQ60" s="40" t="s">
        <v>120</v>
      </c>
      <c r="AV60" s="39">
        <f t="shared" si="36"/>
        <v>0</v>
      </c>
      <c r="AW60" s="39">
        <f t="shared" si="37"/>
        <v>0</v>
      </c>
      <c r="AX60" s="39">
        <f t="shared" si="38"/>
        <v>0</v>
      </c>
      <c r="AY60" s="40" t="s">
        <v>185</v>
      </c>
      <c r="AZ60" s="40" t="s">
        <v>122</v>
      </c>
      <c r="BA60" s="30" t="s">
        <v>123</v>
      </c>
      <c r="BC60" s="39">
        <f t="shared" si="39"/>
        <v>0</v>
      </c>
      <c r="BD60" s="39">
        <f t="shared" si="40"/>
        <v>0</v>
      </c>
      <c r="BE60" s="39">
        <v>0</v>
      </c>
      <c r="BF60" s="39">
        <f>60</f>
        <v>60</v>
      </c>
      <c r="BH60" s="39">
        <f t="shared" si="41"/>
        <v>0</v>
      </c>
      <c r="BI60" s="39">
        <f t="shared" si="42"/>
        <v>0</v>
      </c>
      <c r="BJ60" s="39">
        <f t="shared" si="43"/>
        <v>0</v>
      </c>
      <c r="BK60" s="39"/>
      <c r="BL60" s="39">
        <v>733</v>
      </c>
      <c r="BW60" s="39">
        <v>21</v>
      </c>
      <c r="BX60" s="1" t="s">
        <v>257</v>
      </c>
    </row>
    <row r="61" spans="1:76" x14ac:dyDescent="0.25">
      <c r="A61" s="58" t="s">
        <v>258</v>
      </c>
      <c r="B61" s="44" t="s">
        <v>259</v>
      </c>
      <c r="C61" s="157" t="s">
        <v>260</v>
      </c>
      <c r="D61" s="158"/>
      <c r="E61" s="44" t="s">
        <v>184</v>
      </c>
      <c r="F61" s="45">
        <v>61</v>
      </c>
      <c r="G61" s="45">
        <v>0</v>
      </c>
      <c r="H61" s="45">
        <f t="shared" si="22"/>
        <v>0</v>
      </c>
      <c r="I61" s="45">
        <f t="shared" si="23"/>
        <v>0</v>
      </c>
      <c r="J61" s="45">
        <f t="shared" si="24"/>
        <v>0</v>
      </c>
      <c r="K61" s="59" t="s">
        <v>119</v>
      </c>
      <c r="Z61" s="39">
        <f t="shared" si="25"/>
        <v>0</v>
      </c>
      <c r="AB61" s="39">
        <f t="shared" si="26"/>
        <v>0</v>
      </c>
      <c r="AC61" s="39">
        <f t="shared" si="27"/>
        <v>0</v>
      </c>
      <c r="AD61" s="39">
        <f t="shared" si="28"/>
        <v>0</v>
      </c>
      <c r="AE61" s="39">
        <f t="shared" si="29"/>
        <v>0</v>
      </c>
      <c r="AF61" s="39">
        <f t="shared" si="30"/>
        <v>0</v>
      </c>
      <c r="AG61" s="39">
        <f t="shared" si="31"/>
        <v>0</v>
      </c>
      <c r="AH61" s="39">
        <f t="shared" si="32"/>
        <v>0</v>
      </c>
      <c r="AI61" s="30" t="s">
        <v>4</v>
      </c>
      <c r="AJ61" s="39">
        <f t="shared" si="33"/>
        <v>0</v>
      </c>
      <c r="AK61" s="39">
        <f t="shared" si="34"/>
        <v>0</v>
      </c>
      <c r="AL61" s="39">
        <f t="shared" si="35"/>
        <v>0</v>
      </c>
      <c r="AN61" s="39">
        <v>21</v>
      </c>
      <c r="AO61" s="39">
        <f>G61*0</f>
        <v>0</v>
      </c>
      <c r="AP61" s="39">
        <f>G61*(1-0)</f>
        <v>0</v>
      </c>
      <c r="AQ61" s="40" t="s">
        <v>120</v>
      </c>
      <c r="AV61" s="39">
        <f t="shared" si="36"/>
        <v>0</v>
      </c>
      <c r="AW61" s="39">
        <f t="shared" si="37"/>
        <v>0</v>
      </c>
      <c r="AX61" s="39">
        <f t="shared" si="38"/>
        <v>0</v>
      </c>
      <c r="AY61" s="40" t="s">
        <v>185</v>
      </c>
      <c r="AZ61" s="40" t="s">
        <v>122</v>
      </c>
      <c r="BA61" s="30" t="s">
        <v>123</v>
      </c>
      <c r="BC61" s="39">
        <f t="shared" si="39"/>
        <v>0</v>
      </c>
      <c r="BD61" s="39">
        <f t="shared" si="40"/>
        <v>0</v>
      </c>
      <c r="BE61" s="39">
        <v>0</v>
      </c>
      <c r="BF61" s="39">
        <f>61</f>
        <v>61</v>
      </c>
      <c r="BH61" s="39">
        <f t="shared" si="41"/>
        <v>0</v>
      </c>
      <c r="BI61" s="39">
        <f t="shared" si="42"/>
        <v>0</v>
      </c>
      <c r="BJ61" s="39">
        <f t="shared" si="43"/>
        <v>0</v>
      </c>
      <c r="BK61" s="39"/>
      <c r="BL61" s="39">
        <v>733</v>
      </c>
      <c r="BW61" s="39">
        <v>21</v>
      </c>
      <c r="BX61" s="1" t="s">
        <v>260</v>
      </c>
    </row>
    <row r="62" spans="1:76" x14ac:dyDescent="0.25">
      <c r="A62" s="62" t="s">
        <v>261</v>
      </c>
      <c r="B62" s="49" t="s">
        <v>262</v>
      </c>
      <c r="C62" s="159" t="s">
        <v>263</v>
      </c>
      <c r="D62" s="160"/>
      <c r="E62" s="49" t="s">
        <v>118</v>
      </c>
      <c r="F62" s="50">
        <v>1</v>
      </c>
      <c r="G62" s="50">
        <v>0</v>
      </c>
      <c r="H62" s="50">
        <f t="shared" si="22"/>
        <v>0</v>
      </c>
      <c r="I62" s="50">
        <f t="shared" si="23"/>
        <v>0</v>
      </c>
      <c r="J62" s="50">
        <f t="shared" si="24"/>
        <v>0</v>
      </c>
      <c r="K62" s="63" t="s">
        <v>119</v>
      </c>
      <c r="Z62" s="39">
        <f t="shared" si="25"/>
        <v>0</v>
      </c>
      <c r="AB62" s="39">
        <f t="shared" si="26"/>
        <v>0</v>
      </c>
      <c r="AC62" s="39">
        <f t="shared" si="27"/>
        <v>0</v>
      </c>
      <c r="AD62" s="39">
        <f t="shared" si="28"/>
        <v>0</v>
      </c>
      <c r="AE62" s="39">
        <f t="shared" si="29"/>
        <v>0</v>
      </c>
      <c r="AF62" s="39">
        <f t="shared" si="30"/>
        <v>0</v>
      </c>
      <c r="AG62" s="39">
        <f t="shared" si="31"/>
        <v>0</v>
      </c>
      <c r="AH62" s="39">
        <f t="shared" si="32"/>
        <v>0</v>
      </c>
      <c r="AI62" s="30" t="s">
        <v>4</v>
      </c>
      <c r="AJ62" s="39">
        <f t="shared" si="33"/>
        <v>0</v>
      </c>
      <c r="AK62" s="39">
        <f t="shared" si="34"/>
        <v>0</v>
      </c>
      <c r="AL62" s="39">
        <f t="shared" si="35"/>
        <v>0</v>
      </c>
      <c r="AN62" s="39">
        <v>21</v>
      </c>
      <c r="AO62" s="39">
        <f>G62*0</f>
        <v>0</v>
      </c>
      <c r="AP62" s="39">
        <f>G62*(1-0)</f>
        <v>0</v>
      </c>
      <c r="AQ62" s="40" t="s">
        <v>120</v>
      </c>
      <c r="AV62" s="39">
        <f t="shared" si="36"/>
        <v>0</v>
      </c>
      <c r="AW62" s="39">
        <f t="shared" si="37"/>
        <v>0</v>
      </c>
      <c r="AX62" s="39">
        <f t="shared" si="38"/>
        <v>0</v>
      </c>
      <c r="AY62" s="40" t="s">
        <v>185</v>
      </c>
      <c r="AZ62" s="40" t="s">
        <v>122</v>
      </c>
      <c r="BA62" s="30" t="s">
        <v>123</v>
      </c>
      <c r="BC62" s="39">
        <f t="shared" si="39"/>
        <v>0</v>
      </c>
      <c r="BD62" s="39">
        <f t="shared" si="40"/>
        <v>0</v>
      </c>
      <c r="BE62" s="39">
        <v>0</v>
      </c>
      <c r="BF62" s="39">
        <f>62</f>
        <v>62</v>
      </c>
      <c r="BH62" s="39">
        <f t="shared" si="41"/>
        <v>0</v>
      </c>
      <c r="BI62" s="39">
        <f t="shared" si="42"/>
        <v>0</v>
      </c>
      <c r="BJ62" s="39">
        <f t="shared" si="43"/>
        <v>0</v>
      </c>
      <c r="BK62" s="39"/>
      <c r="BL62" s="39">
        <v>733</v>
      </c>
      <c r="BW62" s="39">
        <v>21</v>
      </c>
      <c r="BX62" s="1" t="s">
        <v>263</v>
      </c>
    </row>
    <row r="63" spans="1:76" x14ac:dyDescent="0.25">
      <c r="A63" s="62" t="s">
        <v>264</v>
      </c>
      <c r="B63" s="49" t="s">
        <v>265</v>
      </c>
      <c r="C63" s="159" t="s">
        <v>266</v>
      </c>
      <c r="D63" s="160"/>
      <c r="E63" s="49" t="s">
        <v>118</v>
      </c>
      <c r="F63" s="50">
        <v>2</v>
      </c>
      <c r="G63" s="50">
        <v>0</v>
      </c>
      <c r="H63" s="50">
        <f t="shared" si="22"/>
        <v>0</v>
      </c>
      <c r="I63" s="50">
        <f t="shared" si="23"/>
        <v>0</v>
      </c>
      <c r="J63" s="50">
        <f t="shared" si="24"/>
        <v>0</v>
      </c>
      <c r="K63" s="63" t="s">
        <v>119</v>
      </c>
      <c r="Z63" s="39">
        <f t="shared" si="25"/>
        <v>0</v>
      </c>
      <c r="AB63" s="39">
        <f t="shared" si="26"/>
        <v>0</v>
      </c>
      <c r="AC63" s="39">
        <f t="shared" si="27"/>
        <v>0</v>
      </c>
      <c r="AD63" s="39">
        <f t="shared" si="28"/>
        <v>0</v>
      </c>
      <c r="AE63" s="39">
        <f t="shared" si="29"/>
        <v>0</v>
      </c>
      <c r="AF63" s="39">
        <f t="shared" si="30"/>
        <v>0</v>
      </c>
      <c r="AG63" s="39">
        <f t="shared" si="31"/>
        <v>0</v>
      </c>
      <c r="AH63" s="39">
        <f t="shared" si="32"/>
        <v>0</v>
      </c>
      <c r="AI63" s="30" t="s">
        <v>4</v>
      </c>
      <c r="AJ63" s="39">
        <f t="shared" si="33"/>
        <v>0</v>
      </c>
      <c r="AK63" s="39">
        <f t="shared" si="34"/>
        <v>0</v>
      </c>
      <c r="AL63" s="39">
        <f t="shared" si="35"/>
        <v>0</v>
      </c>
      <c r="AN63" s="39">
        <v>21</v>
      </c>
      <c r="AO63" s="39">
        <f>G63*0</f>
        <v>0</v>
      </c>
      <c r="AP63" s="39">
        <f>G63*(1-0)</f>
        <v>0</v>
      </c>
      <c r="AQ63" s="40" t="s">
        <v>120</v>
      </c>
      <c r="AV63" s="39">
        <f t="shared" si="36"/>
        <v>0</v>
      </c>
      <c r="AW63" s="39">
        <f t="shared" si="37"/>
        <v>0</v>
      </c>
      <c r="AX63" s="39">
        <f t="shared" si="38"/>
        <v>0</v>
      </c>
      <c r="AY63" s="40" t="s">
        <v>185</v>
      </c>
      <c r="AZ63" s="40" t="s">
        <v>122</v>
      </c>
      <c r="BA63" s="30" t="s">
        <v>123</v>
      </c>
      <c r="BC63" s="39">
        <f t="shared" si="39"/>
        <v>0</v>
      </c>
      <c r="BD63" s="39">
        <f t="shared" si="40"/>
        <v>0</v>
      </c>
      <c r="BE63" s="39">
        <v>0</v>
      </c>
      <c r="BF63" s="39">
        <f>63</f>
        <v>63</v>
      </c>
      <c r="BH63" s="39">
        <f t="shared" si="41"/>
        <v>0</v>
      </c>
      <c r="BI63" s="39">
        <f t="shared" si="42"/>
        <v>0</v>
      </c>
      <c r="BJ63" s="39">
        <f t="shared" si="43"/>
        <v>0</v>
      </c>
      <c r="BK63" s="39"/>
      <c r="BL63" s="39">
        <v>733</v>
      </c>
      <c r="BW63" s="39">
        <v>21</v>
      </c>
      <c r="BX63" s="1" t="s">
        <v>266</v>
      </c>
    </row>
    <row r="64" spans="1:76" x14ac:dyDescent="0.25">
      <c r="A64" s="58" t="s">
        <v>267</v>
      </c>
      <c r="B64" s="44" t="s">
        <v>268</v>
      </c>
      <c r="C64" s="157" t="s">
        <v>269</v>
      </c>
      <c r="D64" s="158"/>
      <c r="E64" s="44" t="s">
        <v>184</v>
      </c>
      <c r="F64" s="45">
        <v>26</v>
      </c>
      <c r="G64" s="45">
        <v>0</v>
      </c>
      <c r="H64" s="45">
        <f t="shared" si="22"/>
        <v>0</v>
      </c>
      <c r="I64" s="45">
        <f t="shared" si="23"/>
        <v>0</v>
      </c>
      <c r="J64" s="45">
        <f t="shared" si="24"/>
        <v>0</v>
      </c>
      <c r="K64" s="59" t="s">
        <v>119</v>
      </c>
      <c r="Z64" s="39">
        <f t="shared" si="25"/>
        <v>0</v>
      </c>
      <c r="AB64" s="39">
        <f t="shared" si="26"/>
        <v>0</v>
      </c>
      <c r="AC64" s="39">
        <f t="shared" si="27"/>
        <v>0</v>
      </c>
      <c r="AD64" s="39">
        <f t="shared" si="28"/>
        <v>0</v>
      </c>
      <c r="AE64" s="39">
        <f t="shared" si="29"/>
        <v>0</v>
      </c>
      <c r="AF64" s="39">
        <f t="shared" si="30"/>
        <v>0</v>
      </c>
      <c r="AG64" s="39">
        <f t="shared" si="31"/>
        <v>0</v>
      </c>
      <c r="AH64" s="39">
        <f t="shared" si="32"/>
        <v>0</v>
      </c>
      <c r="AI64" s="30" t="s">
        <v>4</v>
      </c>
      <c r="AJ64" s="39">
        <f t="shared" si="33"/>
        <v>0</v>
      </c>
      <c r="AK64" s="39">
        <f t="shared" si="34"/>
        <v>0</v>
      </c>
      <c r="AL64" s="39">
        <f t="shared" si="35"/>
        <v>0</v>
      </c>
      <c r="AN64" s="39">
        <v>21</v>
      </c>
      <c r="AO64" s="39">
        <f>G64*0.020316944</f>
        <v>0</v>
      </c>
      <c r="AP64" s="39">
        <f>G64*(1-0.020316944)</f>
        <v>0</v>
      </c>
      <c r="AQ64" s="40" t="s">
        <v>120</v>
      </c>
      <c r="AV64" s="39">
        <f t="shared" si="36"/>
        <v>0</v>
      </c>
      <c r="AW64" s="39">
        <f t="shared" si="37"/>
        <v>0</v>
      </c>
      <c r="AX64" s="39">
        <f t="shared" si="38"/>
        <v>0</v>
      </c>
      <c r="AY64" s="40" t="s">
        <v>185</v>
      </c>
      <c r="AZ64" s="40" t="s">
        <v>122</v>
      </c>
      <c r="BA64" s="30" t="s">
        <v>123</v>
      </c>
      <c r="BC64" s="39">
        <f t="shared" si="39"/>
        <v>0</v>
      </c>
      <c r="BD64" s="39">
        <f t="shared" si="40"/>
        <v>0</v>
      </c>
      <c r="BE64" s="39">
        <v>0</v>
      </c>
      <c r="BF64" s="39">
        <f>64</f>
        <v>64</v>
      </c>
      <c r="BH64" s="39">
        <f t="shared" si="41"/>
        <v>0</v>
      </c>
      <c r="BI64" s="39">
        <f t="shared" si="42"/>
        <v>0</v>
      </c>
      <c r="BJ64" s="39">
        <f t="shared" si="43"/>
        <v>0</v>
      </c>
      <c r="BK64" s="39"/>
      <c r="BL64" s="39">
        <v>733</v>
      </c>
      <c r="BW64" s="39">
        <v>21</v>
      </c>
      <c r="BX64" s="1" t="s">
        <v>269</v>
      </c>
    </row>
    <row r="65" spans="1:76" x14ac:dyDescent="0.25">
      <c r="A65" s="58" t="s">
        <v>270</v>
      </c>
      <c r="B65" s="44" t="s">
        <v>271</v>
      </c>
      <c r="C65" s="157" t="s">
        <v>272</v>
      </c>
      <c r="D65" s="158"/>
      <c r="E65" s="44" t="s">
        <v>178</v>
      </c>
      <c r="F65" s="45">
        <v>0.5897</v>
      </c>
      <c r="G65" s="45">
        <v>0</v>
      </c>
      <c r="H65" s="45">
        <f t="shared" si="22"/>
        <v>0</v>
      </c>
      <c r="I65" s="45">
        <f t="shared" si="23"/>
        <v>0</v>
      </c>
      <c r="J65" s="45">
        <f t="shared" si="24"/>
        <v>0</v>
      </c>
      <c r="K65" s="59" t="s">
        <v>119</v>
      </c>
      <c r="Z65" s="39">
        <f t="shared" si="25"/>
        <v>0</v>
      </c>
      <c r="AB65" s="39">
        <f t="shared" si="26"/>
        <v>0</v>
      </c>
      <c r="AC65" s="39">
        <f t="shared" si="27"/>
        <v>0</v>
      </c>
      <c r="AD65" s="39">
        <f t="shared" si="28"/>
        <v>0</v>
      </c>
      <c r="AE65" s="39">
        <f t="shared" si="29"/>
        <v>0</v>
      </c>
      <c r="AF65" s="39">
        <f t="shared" si="30"/>
        <v>0</v>
      </c>
      <c r="AG65" s="39">
        <f t="shared" si="31"/>
        <v>0</v>
      </c>
      <c r="AH65" s="39">
        <f t="shared" si="32"/>
        <v>0</v>
      </c>
      <c r="AI65" s="30" t="s">
        <v>4</v>
      </c>
      <c r="AJ65" s="39">
        <f t="shared" si="33"/>
        <v>0</v>
      </c>
      <c r="AK65" s="39">
        <f t="shared" si="34"/>
        <v>0</v>
      </c>
      <c r="AL65" s="39">
        <f t="shared" si="35"/>
        <v>0</v>
      </c>
      <c r="AN65" s="39">
        <v>21</v>
      </c>
      <c r="AO65" s="39">
        <f>G65*0</f>
        <v>0</v>
      </c>
      <c r="AP65" s="39">
        <f>G65*(1-0)</f>
        <v>0</v>
      </c>
      <c r="AQ65" s="40" t="s">
        <v>137</v>
      </c>
      <c r="AV65" s="39">
        <f t="shared" si="36"/>
        <v>0</v>
      </c>
      <c r="AW65" s="39">
        <f t="shared" si="37"/>
        <v>0</v>
      </c>
      <c r="AX65" s="39">
        <f t="shared" si="38"/>
        <v>0</v>
      </c>
      <c r="AY65" s="40" t="s">
        <v>185</v>
      </c>
      <c r="AZ65" s="40" t="s">
        <v>122</v>
      </c>
      <c r="BA65" s="30" t="s">
        <v>123</v>
      </c>
      <c r="BC65" s="39">
        <f t="shared" si="39"/>
        <v>0</v>
      </c>
      <c r="BD65" s="39">
        <f t="shared" si="40"/>
        <v>0</v>
      </c>
      <c r="BE65" s="39">
        <v>0</v>
      </c>
      <c r="BF65" s="39">
        <f>65</f>
        <v>65</v>
      </c>
      <c r="BH65" s="39">
        <f t="shared" si="41"/>
        <v>0</v>
      </c>
      <c r="BI65" s="39">
        <f t="shared" si="42"/>
        <v>0</v>
      </c>
      <c r="BJ65" s="39">
        <f t="shared" si="43"/>
        <v>0</v>
      </c>
      <c r="BK65" s="39"/>
      <c r="BL65" s="39">
        <v>733</v>
      </c>
      <c r="BW65" s="39">
        <v>21</v>
      </c>
      <c r="BX65" s="1" t="s">
        <v>272</v>
      </c>
    </row>
    <row r="66" spans="1:76" x14ac:dyDescent="0.25">
      <c r="A66" s="64" t="s">
        <v>4</v>
      </c>
      <c r="B66" s="42" t="s">
        <v>273</v>
      </c>
      <c r="C66" s="161" t="s">
        <v>274</v>
      </c>
      <c r="D66" s="162"/>
      <c r="E66" s="41" t="s">
        <v>77</v>
      </c>
      <c r="F66" s="41" t="s">
        <v>77</v>
      </c>
      <c r="G66" s="41" t="s">
        <v>77</v>
      </c>
      <c r="H66" s="43">
        <f>SUM(H67:H92)</f>
        <v>0</v>
      </c>
      <c r="I66" s="43">
        <f>SUM(I67:I92)</f>
        <v>0</v>
      </c>
      <c r="J66" s="43">
        <f>SUM(J67:J92)</f>
        <v>0</v>
      </c>
      <c r="K66" s="65" t="s">
        <v>4</v>
      </c>
      <c r="AI66" s="30" t="s">
        <v>4</v>
      </c>
      <c r="AS66" s="24">
        <f>SUM(AJ67:AJ92)</f>
        <v>0</v>
      </c>
      <c r="AT66" s="24">
        <f>SUM(AK67:AK92)</f>
        <v>0</v>
      </c>
      <c r="AU66" s="24">
        <f>SUM(AL67:AL92)</f>
        <v>0</v>
      </c>
    </row>
    <row r="67" spans="1:76" x14ac:dyDescent="0.25">
      <c r="A67" s="58" t="s">
        <v>275</v>
      </c>
      <c r="B67" s="44" t="s">
        <v>276</v>
      </c>
      <c r="C67" s="157" t="s">
        <v>277</v>
      </c>
      <c r="D67" s="158"/>
      <c r="E67" s="44" t="s">
        <v>118</v>
      </c>
      <c r="F67" s="45">
        <v>6</v>
      </c>
      <c r="G67" s="45">
        <v>0</v>
      </c>
      <c r="H67" s="45">
        <f t="shared" ref="H67:H92" si="44">F67*AO67</f>
        <v>0</v>
      </c>
      <c r="I67" s="45">
        <f t="shared" ref="I67:I92" si="45">F67*AP67</f>
        <v>0</v>
      </c>
      <c r="J67" s="45">
        <f t="shared" ref="J67:J92" si="46">F67*G67</f>
        <v>0</v>
      </c>
      <c r="K67" s="59" t="s">
        <v>119</v>
      </c>
      <c r="Z67" s="39">
        <f t="shared" ref="Z67:Z92" si="47">IF(AQ67="5",BJ67,0)</f>
        <v>0</v>
      </c>
      <c r="AB67" s="39">
        <f t="shared" ref="AB67:AB92" si="48">IF(AQ67="1",BH67,0)</f>
        <v>0</v>
      </c>
      <c r="AC67" s="39">
        <f t="shared" ref="AC67:AC92" si="49">IF(AQ67="1",BI67,0)</f>
        <v>0</v>
      </c>
      <c r="AD67" s="39">
        <f t="shared" ref="AD67:AD92" si="50">IF(AQ67="7",BH67,0)</f>
        <v>0</v>
      </c>
      <c r="AE67" s="39">
        <f t="shared" ref="AE67:AE92" si="51">IF(AQ67="7",BI67,0)</f>
        <v>0</v>
      </c>
      <c r="AF67" s="39">
        <f t="shared" ref="AF67:AF92" si="52">IF(AQ67="2",BH67,0)</f>
        <v>0</v>
      </c>
      <c r="AG67" s="39">
        <f t="shared" ref="AG67:AG92" si="53">IF(AQ67="2",BI67,0)</f>
        <v>0</v>
      </c>
      <c r="AH67" s="39">
        <f t="shared" ref="AH67:AH92" si="54">IF(AQ67="0",BJ67,0)</f>
        <v>0</v>
      </c>
      <c r="AI67" s="30" t="s">
        <v>4</v>
      </c>
      <c r="AJ67" s="39">
        <f t="shared" ref="AJ67:AJ92" si="55">IF(AN67=0,J67,0)</f>
        <v>0</v>
      </c>
      <c r="AK67" s="39">
        <f t="shared" ref="AK67:AK92" si="56">IF(AN67=12,J67,0)</f>
        <v>0</v>
      </c>
      <c r="AL67" s="39">
        <f t="shared" ref="AL67:AL92" si="57">IF(AN67=21,J67,0)</f>
        <v>0</v>
      </c>
      <c r="AN67" s="39">
        <v>21</v>
      </c>
      <c r="AO67" s="39">
        <f>G67*0.881001529</f>
        <v>0</v>
      </c>
      <c r="AP67" s="39">
        <f>G67*(1-0.881001529)</f>
        <v>0</v>
      </c>
      <c r="AQ67" s="40" t="s">
        <v>120</v>
      </c>
      <c r="AV67" s="39">
        <f t="shared" ref="AV67:AV92" si="58">AW67+AX67</f>
        <v>0</v>
      </c>
      <c r="AW67" s="39">
        <f t="shared" ref="AW67:AW92" si="59">F67*AO67</f>
        <v>0</v>
      </c>
      <c r="AX67" s="39">
        <f t="shared" ref="AX67:AX92" si="60">F67*AP67</f>
        <v>0</v>
      </c>
      <c r="AY67" s="40" t="s">
        <v>278</v>
      </c>
      <c r="AZ67" s="40" t="s">
        <v>122</v>
      </c>
      <c r="BA67" s="30" t="s">
        <v>123</v>
      </c>
      <c r="BC67" s="39">
        <f t="shared" ref="BC67:BC92" si="61">AW67+AX67</f>
        <v>0</v>
      </c>
      <c r="BD67" s="39">
        <f t="shared" ref="BD67:BD92" si="62">G67/(100-BE67)*100</f>
        <v>0</v>
      </c>
      <c r="BE67" s="39">
        <v>0</v>
      </c>
      <c r="BF67" s="39">
        <f>67</f>
        <v>67</v>
      </c>
      <c r="BH67" s="39">
        <f t="shared" ref="BH67:BH92" si="63">F67*AO67</f>
        <v>0</v>
      </c>
      <c r="BI67" s="39">
        <f t="shared" ref="BI67:BI92" si="64">F67*AP67</f>
        <v>0</v>
      </c>
      <c r="BJ67" s="39">
        <f t="shared" ref="BJ67:BJ92" si="65">F67*G67</f>
        <v>0</v>
      </c>
      <c r="BK67" s="39"/>
      <c r="BL67" s="39">
        <v>734</v>
      </c>
      <c r="BW67" s="39">
        <v>21</v>
      </c>
      <c r="BX67" s="1" t="s">
        <v>277</v>
      </c>
    </row>
    <row r="68" spans="1:76" x14ac:dyDescent="0.25">
      <c r="A68" s="58" t="s">
        <v>279</v>
      </c>
      <c r="B68" s="44" t="s">
        <v>280</v>
      </c>
      <c r="C68" s="157" t="s">
        <v>281</v>
      </c>
      <c r="D68" s="158"/>
      <c r="E68" s="44" t="s">
        <v>118</v>
      </c>
      <c r="F68" s="45">
        <v>10</v>
      </c>
      <c r="G68" s="45">
        <v>0</v>
      </c>
      <c r="H68" s="45">
        <f t="shared" si="44"/>
        <v>0</v>
      </c>
      <c r="I68" s="45">
        <f t="shared" si="45"/>
        <v>0</v>
      </c>
      <c r="J68" s="45">
        <f t="shared" si="46"/>
        <v>0</v>
      </c>
      <c r="K68" s="59" t="s">
        <v>119</v>
      </c>
      <c r="Z68" s="39">
        <f t="shared" si="47"/>
        <v>0</v>
      </c>
      <c r="AB68" s="39">
        <f t="shared" si="48"/>
        <v>0</v>
      </c>
      <c r="AC68" s="39">
        <f t="shared" si="49"/>
        <v>0</v>
      </c>
      <c r="AD68" s="39">
        <f t="shared" si="50"/>
        <v>0</v>
      </c>
      <c r="AE68" s="39">
        <f t="shared" si="51"/>
        <v>0</v>
      </c>
      <c r="AF68" s="39">
        <f t="shared" si="52"/>
        <v>0</v>
      </c>
      <c r="AG68" s="39">
        <f t="shared" si="53"/>
        <v>0</v>
      </c>
      <c r="AH68" s="39">
        <f t="shared" si="54"/>
        <v>0</v>
      </c>
      <c r="AI68" s="30" t="s">
        <v>4</v>
      </c>
      <c r="AJ68" s="39">
        <f t="shared" si="55"/>
        <v>0</v>
      </c>
      <c r="AK68" s="39">
        <f t="shared" si="56"/>
        <v>0</v>
      </c>
      <c r="AL68" s="39">
        <f t="shared" si="57"/>
        <v>0</v>
      </c>
      <c r="AN68" s="39">
        <v>21</v>
      </c>
      <c r="AO68" s="39">
        <f>G68*0.854560445</f>
        <v>0</v>
      </c>
      <c r="AP68" s="39">
        <f>G68*(1-0.854560445)</f>
        <v>0</v>
      </c>
      <c r="AQ68" s="40" t="s">
        <v>120</v>
      </c>
      <c r="AV68" s="39">
        <f t="shared" si="58"/>
        <v>0</v>
      </c>
      <c r="AW68" s="39">
        <f t="shared" si="59"/>
        <v>0</v>
      </c>
      <c r="AX68" s="39">
        <f t="shared" si="60"/>
        <v>0</v>
      </c>
      <c r="AY68" s="40" t="s">
        <v>278</v>
      </c>
      <c r="AZ68" s="40" t="s">
        <v>122</v>
      </c>
      <c r="BA68" s="30" t="s">
        <v>123</v>
      </c>
      <c r="BC68" s="39">
        <f t="shared" si="61"/>
        <v>0</v>
      </c>
      <c r="BD68" s="39">
        <f t="shared" si="62"/>
        <v>0</v>
      </c>
      <c r="BE68" s="39">
        <v>0</v>
      </c>
      <c r="BF68" s="39">
        <f>68</f>
        <v>68</v>
      </c>
      <c r="BH68" s="39">
        <f t="shared" si="63"/>
        <v>0</v>
      </c>
      <c r="BI68" s="39">
        <f t="shared" si="64"/>
        <v>0</v>
      </c>
      <c r="BJ68" s="39">
        <f t="shared" si="65"/>
        <v>0</v>
      </c>
      <c r="BK68" s="39"/>
      <c r="BL68" s="39">
        <v>734</v>
      </c>
      <c r="BW68" s="39">
        <v>21</v>
      </c>
      <c r="BX68" s="1" t="s">
        <v>281</v>
      </c>
    </row>
    <row r="69" spans="1:76" x14ac:dyDescent="0.25">
      <c r="A69" s="58" t="s">
        <v>282</v>
      </c>
      <c r="B69" s="44" t="s">
        <v>283</v>
      </c>
      <c r="C69" s="157" t="s">
        <v>284</v>
      </c>
      <c r="D69" s="158"/>
      <c r="E69" s="44" t="s">
        <v>118</v>
      </c>
      <c r="F69" s="45">
        <v>5</v>
      </c>
      <c r="G69" s="45">
        <v>0</v>
      </c>
      <c r="H69" s="45">
        <f t="shared" si="44"/>
        <v>0</v>
      </c>
      <c r="I69" s="45">
        <f t="shared" si="45"/>
        <v>0</v>
      </c>
      <c r="J69" s="45">
        <f t="shared" si="46"/>
        <v>0</v>
      </c>
      <c r="K69" s="59" t="s">
        <v>119</v>
      </c>
      <c r="Z69" s="39">
        <f t="shared" si="47"/>
        <v>0</v>
      </c>
      <c r="AB69" s="39">
        <f t="shared" si="48"/>
        <v>0</v>
      </c>
      <c r="AC69" s="39">
        <f t="shared" si="49"/>
        <v>0</v>
      </c>
      <c r="AD69" s="39">
        <f t="shared" si="50"/>
        <v>0</v>
      </c>
      <c r="AE69" s="39">
        <f t="shared" si="51"/>
        <v>0</v>
      </c>
      <c r="AF69" s="39">
        <f t="shared" si="52"/>
        <v>0</v>
      </c>
      <c r="AG69" s="39">
        <f t="shared" si="53"/>
        <v>0</v>
      </c>
      <c r="AH69" s="39">
        <f t="shared" si="54"/>
        <v>0</v>
      </c>
      <c r="AI69" s="30" t="s">
        <v>4</v>
      </c>
      <c r="AJ69" s="39">
        <f t="shared" si="55"/>
        <v>0</v>
      </c>
      <c r="AK69" s="39">
        <f t="shared" si="56"/>
        <v>0</v>
      </c>
      <c r="AL69" s="39">
        <f t="shared" si="57"/>
        <v>0</v>
      </c>
      <c r="AN69" s="39">
        <v>21</v>
      </c>
      <c r="AO69" s="39">
        <f>G69*0.714876141</f>
        <v>0</v>
      </c>
      <c r="AP69" s="39">
        <f>G69*(1-0.714876141)</f>
        <v>0</v>
      </c>
      <c r="AQ69" s="40" t="s">
        <v>120</v>
      </c>
      <c r="AV69" s="39">
        <f t="shared" si="58"/>
        <v>0</v>
      </c>
      <c r="AW69" s="39">
        <f t="shared" si="59"/>
        <v>0</v>
      </c>
      <c r="AX69" s="39">
        <f t="shared" si="60"/>
        <v>0</v>
      </c>
      <c r="AY69" s="40" t="s">
        <v>278</v>
      </c>
      <c r="AZ69" s="40" t="s">
        <v>122</v>
      </c>
      <c r="BA69" s="30" t="s">
        <v>123</v>
      </c>
      <c r="BC69" s="39">
        <f t="shared" si="61"/>
        <v>0</v>
      </c>
      <c r="BD69" s="39">
        <f t="shared" si="62"/>
        <v>0</v>
      </c>
      <c r="BE69" s="39">
        <v>0</v>
      </c>
      <c r="BF69" s="39">
        <f>69</f>
        <v>69</v>
      </c>
      <c r="BH69" s="39">
        <f t="shared" si="63"/>
        <v>0</v>
      </c>
      <c r="BI69" s="39">
        <f t="shared" si="64"/>
        <v>0</v>
      </c>
      <c r="BJ69" s="39">
        <f t="shared" si="65"/>
        <v>0</v>
      </c>
      <c r="BK69" s="39"/>
      <c r="BL69" s="39">
        <v>734</v>
      </c>
      <c r="BW69" s="39">
        <v>21</v>
      </c>
      <c r="BX69" s="1" t="s">
        <v>284</v>
      </c>
    </row>
    <row r="70" spans="1:76" ht="25.5" x14ac:dyDescent="0.25">
      <c r="A70" s="58" t="s">
        <v>285</v>
      </c>
      <c r="B70" s="44" t="s">
        <v>286</v>
      </c>
      <c r="C70" s="157" t="s">
        <v>287</v>
      </c>
      <c r="D70" s="158"/>
      <c r="E70" s="44" t="s">
        <v>118</v>
      </c>
      <c r="F70" s="45">
        <v>12</v>
      </c>
      <c r="G70" s="45">
        <v>0</v>
      </c>
      <c r="H70" s="45">
        <f t="shared" si="44"/>
        <v>0</v>
      </c>
      <c r="I70" s="45">
        <f t="shared" si="45"/>
        <v>0</v>
      </c>
      <c r="J70" s="45">
        <f t="shared" si="46"/>
        <v>0</v>
      </c>
      <c r="K70" s="59" t="s">
        <v>119</v>
      </c>
      <c r="Z70" s="39">
        <f t="shared" si="47"/>
        <v>0</v>
      </c>
      <c r="AB70" s="39">
        <f t="shared" si="48"/>
        <v>0</v>
      </c>
      <c r="AC70" s="39">
        <f t="shared" si="49"/>
        <v>0</v>
      </c>
      <c r="AD70" s="39">
        <f t="shared" si="50"/>
        <v>0</v>
      </c>
      <c r="AE70" s="39">
        <f t="shared" si="51"/>
        <v>0</v>
      </c>
      <c r="AF70" s="39">
        <f t="shared" si="52"/>
        <v>0</v>
      </c>
      <c r="AG70" s="39">
        <f t="shared" si="53"/>
        <v>0</v>
      </c>
      <c r="AH70" s="39">
        <f t="shared" si="54"/>
        <v>0</v>
      </c>
      <c r="AI70" s="30" t="s">
        <v>4</v>
      </c>
      <c r="AJ70" s="39">
        <f t="shared" si="55"/>
        <v>0</v>
      </c>
      <c r="AK70" s="39">
        <f t="shared" si="56"/>
        <v>0</v>
      </c>
      <c r="AL70" s="39">
        <f t="shared" si="57"/>
        <v>0</v>
      </c>
      <c r="AN70" s="39">
        <v>21</v>
      </c>
      <c r="AO70" s="39">
        <f>G70*0.897513402</f>
        <v>0</v>
      </c>
      <c r="AP70" s="39">
        <f>G70*(1-0.897513402)</f>
        <v>0</v>
      </c>
      <c r="AQ70" s="40" t="s">
        <v>120</v>
      </c>
      <c r="AV70" s="39">
        <f t="shared" si="58"/>
        <v>0</v>
      </c>
      <c r="AW70" s="39">
        <f t="shared" si="59"/>
        <v>0</v>
      </c>
      <c r="AX70" s="39">
        <f t="shared" si="60"/>
        <v>0</v>
      </c>
      <c r="AY70" s="40" t="s">
        <v>278</v>
      </c>
      <c r="AZ70" s="40" t="s">
        <v>122</v>
      </c>
      <c r="BA70" s="30" t="s">
        <v>123</v>
      </c>
      <c r="BC70" s="39">
        <f t="shared" si="61"/>
        <v>0</v>
      </c>
      <c r="BD70" s="39">
        <f t="shared" si="62"/>
        <v>0</v>
      </c>
      <c r="BE70" s="39">
        <v>0</v>
      </c>
      <c r="BF70" s="39">
        <f>70</f>
        <v>70</v>
      </c>
      <c r="BH70" s="39">
        <f t="shared" si="63"/>
        <v>0</v>
      </c>
      <c r="BI70" s="39">
        <f t="shared" si="64"/>
        <v>0</v>
      </c>
      <c r="BJ70" s="39">
        <f t="shared" si="65"/>
        <v>0</v>
      </c>
      <c r="BK70" s="39"/>
      <c r="BL70" s="39">
        <v>734</v>
      </c>
      <c r="BW70" s="39">
        <v>21</v>
      </c>
      <c r="BX70" s="1" t="s">
        <v>287</v>
      </c>
    </row>
    <row r="71" spans="1:76" x14ac:dyDescent="0.25">
      <c r="A71" s="58" t="s">
        <v>288</v>
      </c>
      <c r="B71" s="44" t="s">
        <v>289</v>
      </c>
      <c r="C71" s="157" t="s">
        <v>290</v>
      </c>
      <c r="D71" s="158"/>
      <c r="E71" s="44" t="s">
        <v>118</v>
      </c>
      <c r="F71" s="45">
        <v>17</v>
      </c>
      <c r="G71" s="45">
        <v>0</v>
      </c>
      <c r="H71" s="45">
        <f t="shared" si="44"/>
        <v>0</v>
      </c>
      <c r="I71" s="45">
        <f t="shared" si="45"/>
        <v>0</v>
      </c>
      <c r="J71" s="45">
        <f t="shared" si="46"/>
        <v>0</v>
      </c>
      <c r="K71" s="59" t="s">
        <v>119</v>
      </c>
      <c r="Z71" s="39">
        <f t="shared" si="47"/>
        <v>0</v>
      </c>
      <c r="AB71" s="39">
        <f t="shared" si="48"/>
        <v>0</v>
      </c>
      <c r="AC71" s="39">
        <f t="shared" si="49"/>
        <v>0</v>
      </c>
      <c r="AD71" s="39">
        <f t="shared" si="50"/>
        <v>0</v>
      </c>
      <c r="AE71" s="39">
        <f t="shared" si="51"/>
        <v>0</v>
      </c>
      <c r="AF71" s="39">
        <f t="shared" si="52"/>
        <v>0</v>
      </c>
      <c r="AG71" s="39">
        <f t="shared" si="53"/>
        <v>0</v>
      </c>
      <c r="AH71" s="39">
        <f t="shared" si="54"/>
        <v>0</v>
      </c>
      <c r="AI71" s="30" t="s">
        <v>4</v>
      </c>
      <c r="AJ71" s="39">
        <f t="shared" si="55"/>
        <v>0</v>
      </c>
      <c r="AK71" s="39">
        <f t="shared" si="56"/>
        <v>0</v>
      </c>
      <c r="AL71" s="39">
        <f t="shared" si="57"/>
        <v>0</v>
      </c>
      <c r="AN71" s="39">
        <v>21</v>
      </c>
      <c r="AO71" s="39">
        <f>G71*0.295365854</f>
        <v>0</v>
      </c>
      <c r="AP71" s="39">
        <f>G71*(1-0.295365854)</f>
        <v>0</v>
      </c>
      <c r="AQ71" s="40" t="s">
        <v>120</v>
      </c>
      <c r="AV71" s="39">
        <f t="shared" si="58"/>
        <v>0</v>
      </c>
      <c r="AW71" s="39">
        <f t="shared" si="59"/>
        <v>0</v>
      </c>
      <c r="AX71" s="39">
        <f t="shared" si="60"/>
        <v>0</v>
      </c>
      <c r="AY71" s="40" t="s">
        <v>278</v>
      </c>
      <c r="AZ71" s="40" t="s">
        <v>122</v>
      </c>
      <c r="BA71" s="30" t="s">
        <v>123</v>
      </c>
      <c r="BC71" s="39">
        <f t="shared" si="61"/>
        <v>0</v>
      </c>
      <c r="BD71" s="39">
        <f t="shared" si="62"/>
        <v>0</v>
      </c>
      <c r="BE71" s="39">
        <v>0</v>
      </c>
      <c r="BF71" s="39">
        <f>71</f>
        <v>71</v>
      </c>
      <c r="BH71" s="39">
        <f t="shared" si="63"/>
        <v>0</v>
      </c>
      <c r="BI71" s="39">
        <f t="shared" si="64"/>
        <v>0</v>
      </c>
      <c r="BJ71" s="39">
        <f t="shared" si="65"/>
        <v>0</v>
      </c>
      <c r="BK71" s="39"/>
      <c r="BL71" s="39">
        <v>734</v>
      </c>
      <c r="BW71" s="39">
        <v>21</v>
      </c>
      <c r="BX71" s="1" t="s">
        <v>290</v>
      </c>
    </row>
    <row r="72" spans="1:76" x14ac:dyDescent="0.25">
      <c r="A72" s="62" t="s">
        <v>291</v>
      </c>
      <c r="B72" s="49" t="s">
        <v>289</v>
      </c>
      <c r="C72" s="159" t="s">
        <v>292</v>
      </c>
      <c r="D72" s="160"/>
      <c r="E72" s="49" t="s">
        <v>118</v>
      </c>
      <c r="F72" s="50">
        <v>9</v>
      </c>
      <c r="G72" s="50">
        <v>0</v>
      </c>
      <c r="H72" s="50">
        <f t="shared" si="44"/>
        <v>0</v>
      </c>
      <c r="I72" s="50">
        <f t="shared" si="45"/>
        <v>0</v>
      </c>
      <c r="J72" s="50">
        <f t="shared" si="46"/>
        <v>0</v>
      </c>
      <c r="K72" s="63" t="s">
        <v>119</v>
      </c>
      <c r="Z72" s="39">
        <f t="shared" si="47"/>
        <v>0</v>
      </c>
      <c r="AB72" s="39">
        <f t="shared" si="48"/>
        <v>0</v>
      </c>
      <c r="AC72" s="39">
        <f t="shared" si="49"/>
        <v>0</v>
      </c>
      <c r="AD72" s="39">
        <f t="shared" si="50"/>
        <v>0</v>
      </c>
      <c r="AE72" s="39">
        <f t="shared" si="51"/>
        <v>0</v>
      </c>
      <c r="AF72" s="39">
        <f t="shared" si="52"/>
        <v>0</v>
      </c>
      <c r="AG72" s="39">
        <f t="shared" si="53"/>
        <v>0</v>
      </c>
      <c r="AH72" s="39">
        <f t="shared" si="54"/>
        <v>0</v>
      </c>
      <c r="AI72" s="30" t="s">
        <v>4</v>
      </c>
      <c r="AJ72" s="39">
        <f t="shared" si="55"/>
        <v>0</v>
      </c>
      <c r="AK72" s="39">
        <f t="shared" si="56"/>
        <v>0</v>
      </c>
      <c r="AL72" s="39">
        <f t="shared" si="57"/>
        <v>0</v>
      </c>
      <c r="AN72" s="39">
        <v>21</v>
      </c>
      <c r="AO72" s="39">
        <f>G72*0.295365854</f>
        <v>0</v>
      </c>
      <c r="AP72" s="39">
        <f>G72*(1-0.295365854)</f>
        <v>0</v>
      </c>
      <c r="AQ72" s="40" t="s">
        <v>120</v>
      </c>
      <c r="AV72" s="39">
        <f t="shared" si="58"/>
        <v>0</v>
      </c>
      <c r="AW72" s="39">
        <f t="shared" si="59"/>
        <v>0</v>
      </c>
      <c r="AX72" s="39">
        <f t="shared" si="60"/>
        <v>0</v>
      </c>
      <c r="AY72" s="40" t="s">
        <v>278</v>
      </c>
      <c r="AZ72" s="40" t="s">
        <v>122</v>
      </c>
      <c r="BA72" s="30" t="s">
        <v>123</v>
      </c>
      <c r="BC72" s="39">
        <f t="shared" si="61"/>
        <v>0</v>
      </c>
      <c r="BD72" s="39">
        <f t="shared" si="62"/>
        <v>0</v>
      </c>
      <c r="BE72" s="39">
        <v>0</v>
      </c>
      <c r="BF72" s="39">
        <f>72</f>
        <v>72</v>
      </c>
      <c r="BH72" s="39">
        <f t="shared" si="63"/>
        <v>0</v>
      </c>
      <c r="BI72" s="39">
        <f t="shared" si="64"/>
        <v>0</v>
      </c>
      <c r="BJ72" s="39">
        <f t="shared" si="65"/>
        <v>0</v>
      </c>
      <c r="BK72" s="39"/>
      <c r="BL72" s="39">
        <v>734</v>
      </c>
      <c r="BW72" s="39">
        <v>21</v>
      </c>
      <c r="BX72" s="1" t="s">
        <v>292</v>
      </c>
    </row>
    <row r="73" spans="1:76" x14ac:dyDescent="0.25">
      <c r="A73" s="58" t="s">
        <v>293</v>
      </c>
      <c r="B73" s="44" t="s">
        <v>294</v>
      </c>
      <c r="C73" s="157" t="s">
        <v>295</v>
      </c>
      <c r="D73" s="158"/>
      <c r="E73" s="44" t="s">
        <v>118</v>
      </c>
      <c r="F73" s="45">
        <v>4</v>
      </c>
      <c r="G73" s="45">
        <v>0</v>
      </c>
      <c r="H73" s="45">
        <f t="shared" si="44"/>
        <v>0</v>
      </c>
      <c r="I73" s="45">
        <f t="shared" si="45"/>
        <v>0</v>
      </c>
      <c r="J73" s="45">
        <f t="shared" si="46"/>
        <v>0</v>
      </c>
      <c r="K73" s="59" t="s">
        <v>119</v>
      </c>
      <c r="Z73" s="39">
        <f t="shared" si="47"/>
        <v>0</v>
      </c>
      <c r="AB73" s="39">
        <f t="shared" si="48"/>
        <v>0</v>
      </c>
      <c r="AC73" s="39">
        <f t="shared" si="49"/>
        <v>0</v>
      </c>
      <c r="AD73" s="39">
        <f t="shared" si="50"/>
        <v>0</v>
      </c>
      <c r="AE73" s="39">
        <f t="shared" si="51"/>
        <v>0</v>
      </c>
      <c r="AF73" s="39">
        <f t="shared" si="52"/>
        <v>0</v>
      </c>
      <c r="AG73" s="39">
        <f t="shared" si="53"/>
        <v>0</v>
      </c>
      <c r="AH73" s="39">
        <f t="shared" si="54"/>
        <v>0</v>
      </c>
      <c r="AI73" s="30" t="s">
        <v>4</v>
      </c>
      <c r="AJ73" s="39">
        <f t="shared" si="55"/>
        <v>0</v>
      </c>
      <c r="AK73" s="39">
        <f t="shared" si="56"/>
        <v>0</v>
      </c>
      <c r="AL73" s="39">
        <f t="shared" si="57"/>
        <v>0</v>
      </c>
      <c r="AN73" s="39">
        <v>21</v>
      </c>
      <c r="AO73" s="39">
        <f>G73*0.857012065</f>
        <v>0</v>
      </c>
      <c r="AP73" s="39">
        <f>G73*(1-0.857012065)</f>
        <v>0</v>
      </c>
      <c r="AQ73" s="40" t="s">
        <v>120</v>
      </c>
      <c r="AV73" s="39">
        <f t="shared" si="58"/>
        <v>0</v>
      </c>
      <c r="AW73" s="39">
        <f t="shared" si="59"/>
        <v>0</v>
      </c>
      <c r="AX73" s="39">
        <f t="shared" si="60"/>
        <v>0</v>
      </c>
      <c r="AY73" s="40" t="s">
        <v>278</v>
      </c>
      <c r="AZ73" s="40" t="s">
        <v>122</v>
      </c>
      <c r="BA73" s="30" t="s">
        <v>123</v>
      </c>
      <c r="BC73" s="39">
        <f t="shared" si="61"/>
        <v>0</v>
      </c>
      <c r="BD73" s="39">
        <f t="shared" si="62"/>
        <v>0</v>
      </c>
      <c r="BE73" s="39">
        <v>0</v>
      </c>
      <c r="BF73" s="39">
        <f>73</f>
        <v>73</v>
      </c>
      <c r="BH73" s="39">
        <f t="shared" si="63"/>
        <v>0</v>
      </c>
      <c r="BI73" s="39">
        <f t="shared" si="64"/>
        <v>0</v>
      </c>
      <c r="BJ73" s="39">
        <f t="shared" si="65"/>
        <v>0</v>
      </c>
      <c r="BK73" s="39"/>
      <c r="BL73" s="39">
        <v>734</v>
      </c>
      <c r="BW73" s="39">
        <v>21</v>
      </c>
      <c r="BX73" s="1" t="s">
        <v>295</v>
      </c>
    </row>
    <row r="74" spans="1:76" x14ac:dyDescent="0.25">
      <c r="A74" s="58" t="s">
        <v>296</v>
      </c>
      <c r="B74" s="44" t="s">
        <v>297</v>
      </c>
      <c r="C74" s="157" t="s">
        <v>298</v>
      </c>
      <c r="D74" s="158"/>
      <c r="E74" s="44" t="s">
        <v>118</v>
      </c>
      <c r="F74" s="45">
        <v>2</v>
      </c>
      <c r="G74" s="45">
        <v>0</v>
      </c>
      <c r="H74" s="45">
        <f t="shared" si="44"/>
        <v>0</v>
      </c>
      <c r="I74" s="45">
        <f t="shared" si="45"/>
        <v>0</v>
      </c>
      <c r="J74" s="45">
        <f t="shared" si="46"/>
        <v>0</v>
      </c>
      <c r="K74" s="59" t="s">
        <v>119</v>
      </c>
      <c r="Z74" s="39">
        <f t="shared" si="47"/>
        <v>0</v>
      </c>
      <c r="AB74" s="39">
        <f t="shared" si="48"/>
        <v>0</v>
      </c>
      <c r="AC74" s="39">
        <f t="shared" si="49"/>
        <v>0</v>
      </c>
      <c r="AD74" s="39">
        <f t="shared" si="50"/>
        <v>0</v>
      </c>
      <c r="AE74" s="39">
        <f t="shared" si="51"/>
        <v>0</v>
      </c>
      <c r="AF74" s="39">
        <f t="shared" si="52"/>
        <v>0</v>
      </c>
      <c r="AG74" s="39">
        <f t="shared" si="53"/>
        <v>0</v>
      </c>
      <c r="AH74" s="39">
        <f t="shared" si="54"/>
        <v>0</v>
      </c>
      <c r="AI74" s="30" t="s">
        <v>4</v>
      </c>
      <c r="AJ74" s="39">
        <f t="shared" si="55"/>
        <v>0</v>
      </c>
      <c r="AK74" s="39">
        <f t="shared" si="56"/>
        <v>0</v>
      </c>
      <c r="AL74" s="39">
        <f t="shared" si="57"/>
        <v>0</v>
      </c>
      <c r="AN74" s="39">
        <v>21</v>
      </c>
      <c r="AO74" s="39">
        <f>G74*0.883555024</f>
        <v>0</v>
      </c>
      <c r="AP74" s="39">
        <f>G74*(1-0.883555024)</f>
        <v>0</v>
      </c>
      <c r="AQ74" s="40" t="s">
        <v>120</v>
      </c>
      <c r="AV74" s="39">
        <f t="shared" si="58"/>
        <v>0</v>
      </c>
      <c r="AW74" s="39">
        <f t="shared" si="59"/>
        <v>0</v>
      </c>
      <c r="AX74" s="39">
        <f t="shared" si="60"/>
        <v>0</v>
      </c>
      <c r="AY74" s="40" t="s">
        <v>278</v>
      </c>
      <c r="AZ74" s="40" t="s">
        <v>122</v>
      </c>
      <c r="BA74" s="30" t="s">
        <v>123</v>
      </c>
      <c r="BC74" s="39">
        <f t="shared" si="61"/>
        <v>0</v>
      </c>
      <c r="BD74" s="39">
        <f t="shared" si="62"/>
        <v>0</v>
      </c>
      <c r="BE74" s="39">
        <v>0</v>
      </c>
      <c r="BF74" s="39">
        <f>74</f>
        <v>74</v>
      </c>
      <c r="BH74" s="39">
        <f t="shared" si="63"/>
        <v>0</v>
      </c>
      <c r="BI74" s="39">
        <f t="shared" si="64"/>
        <v>0</v>
      </c>
      <c r="BJ74" s="39">
        <f t="shared" si="65"/>
        <v>0</v>
      </c>
      <c r="BK74" s="39"/>
      <c r="BL74" s="39">
        <v>734</v>
      </c>
      <c r="BW74" s="39">
        <v>21</v>
      </c>
      <c r="BX74" s="1" t="s">
        <v>298</v>
      </c>
    </row>
    <row r="75" spans="1:76" x14ac:dyDescent="0.25">
      <c r="A75" s="58" t="s">
        <v>299</v>
      </c>
      <c r="B75" s="44" t="s">
        <v>300</v>
      </c>
      <c r="C75" s="157" t="s">
        <v>301</v>
      </c>
      <c r="D75" s="158"/>
      <c r="E75" s="44" t="s">
        <v>118</v>
      </c>
      <c r="F75" s="45">
        <v>1</v>
      </c>
      <c r="G75" s="45">
        <v>0</v>
      </c>
      <c r="H75" s="45">
        <f t="shared" si="44"/>
        <v>0</v>
      </c>
      <c r="I75" s="45">
        <f t="shared" si="45"/>
        <v>0</v>
      </c>
      <c r="J75" s="45">
        <f t="shared" si="46"/>
        <v>0</v>
      </c>
      <c r="K75" s="59" t="s">
        <v>119</v>
      </c>
      <c r="Z75" s="39">
        <f t="shared" si="47"/>
        <v>0</v>
      </c>
      <c r="AB75" s="39">
        <f t="shared" si="48"/>
        <v>0</v>
      </c>
      <c r="AC75" s="39">
        <f t="shared" si="49"/>
        <v>0</v>
      </c>
      <c r="AD75" s="39">
        <f t="shared" si="50"/>
        <v>0</v>
      </c>
      <c r="AE75" s="39">
        <f t="shared" si="51"/>
        <v>0</v>
      </c>
      <c r="AF75" s="39">
        <f t="shared" si="52"/>
        <v>0</v>
      </c>
      <c r="AG75" s="39">
        <f t="shared" si="53"/>
        <v>0</v>
      </c>
      <c r="AH75" s="39">
        <f t="shared" si="54"/>
        <v>0</v>
      </c>
      <c r="AI75" s="30" t="s">
        <v>4</v>
      </c>
      <c r="AJ75" s="39">
        <f t="shared" si="55"/>
        <v>0</v>
      </c>
      <c r="AK75" s="39">
        <f t="shared" si="56"/>
        <v>0</v>
      </c>
      <c r="AL75" s="39">
        <f t="shared" si="57"/>
        <v>0</v>
      </c>
      <c r="AN75" s="39">
        <v>21</v>
      </c>
      <c r="AO75" s="39">
        <f>G75*0.812061567</f>
        <v>0</v>
      </c>
      <c r="AP75" s="39">
        <f>G75*(1-0.812061567)</f>
        <v>0</v>
      </c>
      <c r="AQ75" s="40" t="s">
        <v>120</v>
      </c>
      <c r="AV75" s="39">
        <f t="shared" si="58"/>
        <v>0</v>
      </c>
      <c r="AW75" s="39">
        <f t="shared" si="59"/>
        <v>0</v>
      </c>
      <c r="AX75" s="39">
        <f t="shared" si="60"/>
        <v>0</v>
      </c>
      <c r="AY75" s="40" t="s">
        <v>278</v>
      </c>
      <c r="AZ75" s="40" t="s">
        <v>122</v>
      </c>
      <c r="BA75" s="30" t="s">
        <v>123</v>
      </c>
      <c r="BC75" s="39">
        <f t="shared" si="61"/>
        <v>0</v>
      </c>
      <c r="BD75" s="39">
        <f t="shared" si="62"/>
        <v>0</v>
      </c>
      <c r="BE75" s="39">
        <v>0</v>
      </c>
      <c r="BF75" s="39">
        <f>75</f>
        <v>75</v>
      </c>
      <c r="BH75" s="39">
        <f t="shared" si="63"/>
        <v>0</v>
      </c>
      <c r="BI75" s="39">
        <f t="shared" si="64"/>
        <v>0</v>
      </c>
      <c r="BJ75" s="39">
        <f t="shared" si="65"/>
        <v>0</v>
      </c>
      <c r="BK75" s="39"/>
      <c r="BL75" s="39">
        <v>734</v>
      </c>
      <c r="BW75" s="39">
        <v>21</v>
      </c>
      <c r="BX75" s="1" t="s">
        <v>301</v>
      </c>
    </row>
    <row r="76" spans="1:76" x14ac:dyDescent="0.25">
      <c r="A76" s="58" t="s">
        <v>302</v>
      </c>
      <c r="B76" s="44" t="s">
        <v>303</v>
      </c>
      <c r="C76" s="157" t="s">
        <v>304</v>
      </c>
      <c r="D76" s="158"/>
      <c r="E76" s="44" t="s">
        <v>118</v>
      </c>
      <c r="F76" s="45">
        <v>1</v>
      </c>
      <c r="G76" s="45">
        <v>0</v>
      </c>
      <c r="H76" s="45">
        <f t="shared" si="44"/>
        <v>0</v>
      </c>
      <c r="I76" s="45">
        <f t="shared" si="45"/>
        <v>0</v>
      </c>
      <c r="J76" s="45">
        <f t="shared" si="46"/>
        <v>0</v>
      </c>
      <c r="K76" s="59" t="s">
        <v>119</v>
      </c>
      <c r="Z76" s="39">
        <f t="shared" si="47"/>
        <v>0</v>
      </c>
      <c r="AB76" s="39">
        <f t="shared" si="48"/>
        <v>0</v>
      </c>
      <c r="AC76" s="39">
        <f t="shared" si="49"/>
        <v>0</v>
      </c>
      <c r="AD76" s="39">
        <f t="shared" si="50"/>
        <v>0</v>
      </c>
      <c r="AE76" s="39">
        <f t="shared" si="51"/>
        <v>0</v>
      </c>
      <c r="AF76" s="39">
        <f t="shared" si="52"/>
        <v>0</v>
      </c>
      <c r="AG76" s="39">
        <f t="shared" si="53"/>
        <v>0</v>
      </c>
      <c r="AH76" s="39">
        <f t="shared" si="54"/>
        <v>0</v>
      </c>
      <c r="AI76" s="30" t="s">
        <v>4</v>
      </c>
      <c r="AJ76" s="39">
        <f t="shared" si="55"/>
        <v>0</v>
      </c>
      <c r="AK76" s="39">
        <f t="shared" si="56"/>
        <v>0</v>
      </c>
      <c r="AL76" s="39">
        <f t="shared" si="57"/>
        <v>0</v>
      </c>
      <c r="AN76" s="39">
        <v>21</v>
      </c>
      <c r="AO76" s="39">
        <f>G76*0.840413115</f>
        <v>0</v>
      </c>
      <c r="AP76" s="39">
        <f>G76*(1-0.840413115)</f>
        <v>0</v>
      </c>
      <c r="AQ76" s="40" t="s">
        <v>120</v>
      </c>
      <c r="AV76" s="39">
        <f t="shared" si="58"/>
        <v>0</v>
      </c>
      <c r="AW76" s="39">
        <f t="shared" si="59"/>
        <v>0</v>
      </c>
      <c r="AX76" s="39">
        <f t="shared" si="60"/>
        <v>0</v>
      </c>
      <c r="AY76" s="40" t="s">
        <v>278</v>
      </c>
      <c r="AZ76" s="40" t="s">
        <v>122</v>
      </c>
      <c r="BA76" s="30" t="s">
        <v>123</v>
      </c>
      <c r="BC76" s="39">
        <f t="shared" si="61"/>
        <v>0</v>
      </c>
      <c r="BD76" s="39">
        <f t="shared" si="62"/>
        <v>0</v>
      </c>
      <c r="BE76" s="39">
        <v>0</v>
      </c>
      <c r="BF76" s="39">
        <f>76</f>
        <v>76</v>
      </c>
      <c r="BH76" s="39">
        <f t="shared" si="63"/>
        <v>0</v>
      </c>
      <c r="BI76" s="39">
        <f t="shared" si="64"/>
        <v>0</v>
      </c>
      <c r="BJ76" s="39">
        <f t="shared" si="65"/>
        <v>0</v>
      </c>
      <c r="BK76" s="39"/>
      <c r="BL76" s="39">
        <v>734</v>
      </c>
      <c r="BW76" s="39">
        <v>21</v>
      </c>
      <c r="BX76" s="1" t="s">
        <v>304</v>
      </c>
    </row>
    <row r="77" spans="1:76" x14ac:dyDescent="0.25">
      <c r="A77" s="58" t="s">
        <v>305</v>
      </c>
      <c r="B77" s="44" t="s">
        <v>306</v>
      </c>
      <c r="C77" s="157" t="s">
        <v>307</v>
      </c>
      <c r="D77" s="158"/>
      <c r="E77" s="44" t="s">
        <v>118</v>
      </c>
      <c r="F77" s="45">
        <v>2</v>
      </c>
      <c r="G77" s="45">
        <v>0</v>
      </c>
      <c r="H77" s="45">
        <f t="shared" si="44"/>
        <v>0</v>
      </c>
      <c r="I77" s="45">
        <f t="shared" si="45"/>
        <v>0</v>
      </c>
      <c r="J77" s="45">
        <f t="shared" si="46"/>
        <v>0</v>
      </c>
      <c r="K77" s="59" t="s">
        <v>119</v>
      </c>
      <c r="Z77" s="39">
        <f t="shared" si="47"/>
        <v>0</v>
      </c>
      <c r="AB77" s="39">
        <f t="shared" si="48"/>
        <v>0</v>
      </c>
      <c r="AC77" s="39">
        <f t="shared" si="49"/>
        <v>0</v>
      </c>
      <c r="AD77" s="39">
        <f t="shared" si="50"/>
        <v>0</v>
      </c>
      <c r="AE77" s="39">
        <f t="shared" si="51"/>
        <v>0</v>
      </c>
      <c r="AF77" s="39">
        <f t="shared" si="52"/>
        <v>0</v>
      </c>
      <c r="AG77" s="39">
        <f t="shared" si="53"/>
        <v>0</v>
      </c>
      <c r="AH77" s="39">
        <f t="shared" si="54"/>
        <v>0</v>
      </c>
      <c r="AI77" s="30" t="s">
        <v>4</v>
      </c>
      <c r="AJ77" s="39">
        <f t="shared" si="55"/>
        <v>0</v>
      </c>
      <c r="AK77" s="39">
        <f t="shared" si="56"/>
        <v>0</v>
      </c>
      <c r="AL77" s="39">
        <f t="shared" si="57"/>
        <v>0</v>
      </c>
      <c r="AN77" s="39">
        <v>21</v>
      </c>
      <c r="AO77" s="39">
        <f>G77*0.838436247</f>
        <v>0</v>
      </c>
      <c r="AP77" s="39">
        <f>G77*(1-0.838436247)</f>
        <v>0</v>
      </c>
      <c r="AQ77" s="40" t="s">
        <v>120</v>
      </c>
      <c r="AV77" s="39">
        <f t="shared" si="58"/>
        <v>0</v>
      </c>
      <c r="AW77" s="39">
        <f t="shared" si="59"/>
        <v>0</v>
      </c>
      <c r="AX77" s="39">
        <f t="shared" si="60"/>
        <v>0</v>
      </c>
      <c r="AY77" s="40" t="s">
        <v>278</v>
      </c>
      <c r="AZ77" s="40" t="s">
        <v>122</v>
      </c>
      <c r="BA77" s="30" t="s">
        <v>123</v>
      </c>
      <c r="BC77" s="39">
        <f t="shared" si="61"/>
        <v>0</v>
      </c>
      <c r="BD77" s="39">
        <f t="shared" si="62"/>
        <v>0</v>
      </c>
      <c r="BE77" s="39">
        <v>0</v>
      </c>
      <c r="BF77" s="39">
        <f>77</f>
        <v>77</v>
      </c>
      <c r="BH77" s="39">
        <f t="shared" si="63"/>
        <v>0</v>
      </c>
      <c r="BI77" s="39">
        <f t="shared" si="64"/>
        <v>0</v>
      </c>
      <c r="BJ77" s="39">
        <f t="shared" si="65"/>
        <v>0</v>
      </c>
      <c r="BK77" s="39"/>
      <c r="BL77" s="39">
        <v>734</v>
      </c>
      <c r="BW77" s="39">
        <v>21</v>
      </c>
      <c r="BX77" s="1" t="s">
        <v>307</v>
      </c>
    </row>
    <row r="78" spans="1:76" x14ac:dyDescent="0.25">
      <c r="A78" s="58" t="s">
        <v>308</v>
      </c>
      <c r="B78" s="44" t="s">
        <v>309</v>
      </c>
      <c r="C78" s="157" t="s">
        <v>310</v>
      </c>
      <c r="D78" s="158"/>
      <c r="E78" s="44" t="s">
        <v>118</v>
      </c>
      <c r="F78" s="45">
        <v>1</v>
      </c>
      <c r="G78" s="45">
        <v>0</v>
      </c>
      <c r="H78" s="45">
        <f t="shared" si="44"/>
        <v>0</v>
      </c>
      <c r="I78" s="45">
        <f t="shared" si="45"/>
        <v>0</v>
      </c>
      <c r="J78" s="45">
        <f t="shared" si="46"/>
        <v>0</v>
      </c>
      <c r="K78" s="59" t="s">
        <v>119</v>
      </c>
      <c r="Z78" s="39">
        <f t="shared" si="47"/>
        <v>0</v>
      </c>
      <c r="AB78" s="39">
        <f t="shared" si="48"/>
        <v>0</v>
      </c>
      <c r="AC78" s="39">
        <f t="shared" si="49"/>
        <v>0</v>
      </c>
      <c r="AD78" s="39">
        <f t="shared" si="50"/>
        <v>0</v>
      </c>
      <c r="AE78" s="39">
        <f t="shared" si="51"/>
        <v>0</v>
      </c>
      <c r="AF78" s="39">
        <f t="shared" si="52"/>
        <v>0</v>
      </c>
      <c r="AG78" s="39">
        <f t="shared" si="53"/>
        <v>0</v>
      </c>
      <c r="AH78" s="39">
        <f t="shared" si="54"/>
        <v>0</v>
      </c>
      <c r="AI78" s="30" t="s">
        <v>4</v>
      </c>
      <c r="AJ78" s="39">
        <f t="shared" si="55"/>
        <v>0</v>
      </c>
      <c r="AK78" s="39">
        <f t="shared" si="56"/>
        <v>0</v>
      </c>
      <c r="AL78" s="39">
        <f t="shared" si="57"/>
        <v>0</v>
      </c>
      <c r="AN78" s="39">
        <v>21</v>
      </c>
      <c r="AO78" s="39">
        <f>G78*0.869994658</f>
        <v>0</v>
      </c>
      <c r="AP78" s="39">
        <f>G78*(1-0.869994658)</f>
        <v>0</v>
      </c>
      <c r="AQ78" s="40" t="s">
        <v>120</v>
      </c>
      <c r="AV78" s="39">
        <f t="shared" si="58"/>
        <v>0</v>
      </c>
      <c r="AW78" s="39">
        <f t="shared" si="59"/>
        <v>0</v>
      </c>
      <c r="AX78" s="39">
        <f t="shared" si="60"/>
        <v>0</v>
      </c>
      <c r="AY78" s="40" t="s">
        <v>278</v>
      </c>
      <c r="AZ78" s="40" t="s">
        <v>122</v>
      </c>
      <c r="BA78" s="30" t="s">
        <v>123</v>
      </c>
      <c r="BC78" s="39">
        <f t="shared" si="61"/>
        <v>0</v>
      </c>
      <c r="BD78" s="39">
        <f t="shared" si="62"/>
        <v>0</v>
      </c>
      <c r="BE78" s="39">
        <v>0</v>
      </c>
      <c r="BF78" s="39">
        <f>78</f>
        <v>78</v>
      </c>
      <c r="BH78" s="39">
        <f t="shared" si="63"/>
        <v>0</v>
      </c>
      <c r="BI78" s="39">
        <f t="shared" si="64"/>
        <v>0</v>
      </c>
      <c r="BJ78" s="39">
        <f t="shared" si="65"/>
        <v>0</v>
      </c>
      <c r="BK78" s="39"/>
      <c r="BL78" s="39">
        <v>734</v>
      </c>
      <c r="BW78" s="39">
        <v>21</v>
      </c>
      <c r="BX78" s="1" t="s">
        <v>310</v>
      </c>
    </row>
    <row r="79" spans="1:76" x14ac:dyDescent="0.25">
      <c r="A79" s="58" t="s">
        <v>311</v>
      </c>
      <c r="B79" s="44" t="s">
        <v>312</v>
      </c>
      <c r="C79" s="157" t="s">
        <v>313</v>
      </c>
      <c r="D79" s="158"/>
      <c r="E79" s="44" t="s">
        <v>118</v>
      </c>
      <c r="F79" s="45">
        <v>1</v>
      </c>
      <c r="G79" s="45">
        <v>0</v>
      </c>
      <c r="H79" s="45">
        <f t="shared" si="44"/>
        <v>0</v>
      </c>
      <c r="I79" s="45">
        <f t="shared" si="45"/>
        <v>0</v>
      </c>
      <c r="J79" s="45">
        <f t="shared" si="46"/>
        <v>0</v>
      </c>
      <c r="K79" s="59" t="s">
        <v>119</v>
      </c>
      <c r="Z79" s="39">
        <f t="shared" si="47"/>
        <v>0</v>
      </c>
      <c r="AB79" s="39">
        <f t="shared" si="48"/>
        <v>0</v>
      </c>
      <c r="AC79" s="39">
        <f t="shared" si="49"/>
        <v>0</v>
      </c>
      <c r="AD79" s="39">
        <f t="shared" si="50"/>
        <v>0</v>
      </c>
      <c r="AE79" s="39">
        <f t="shared" si="51"/>
        <v>0</v>
      </c>
      <c r="AF79" s="39">
        <f t="shared" si="52"/>
        <v>0</v>
      </c>
      <c r="AG79" s="39">
        <f t="shared" si="53"/>
        <v>0</v>
      </c>
      <c r="AH79" s="39">
        <f t="shared" si="54"/>
        <v>0</v>
      </c>
      <c r="AI79" s="30" t="s">
        <v>4</v>
      </c>
      <c r="AJ79" s="39">
        <f t="shared" si="55"/>
        <v>0</v>
      </c>
      <c r="AK79" s="39">
        <f t="shared" si="56"/>
        <v>0</v>
      </c>
      <c r="AL79" s="39">
        <f t="shared" si="57"/>
        <v>0</v>
      </c>
      <c r="AN79" s="39">
        <v>21</v>
      </c>
      <c r="AO79" s="39">
        <f>G79*0.951443396</f>
        <v>0</v>
      </c>
      <c r="AP79" s="39">
        <f>G79*(1-0.951443396)</f>
        <v>0</v>
      </c>
      <c r="AQ79" s="40" t="s">
        <v>120</v>
      </c>
      <c r="AV79" s="39">
        <f t="shared" si="58"/>
        <v>0</v>
      </c>
      <c r="AW79" s="39">
        <f t="shared" si="59"/>
        <v>0</v>
      </c>
      <c r="AX79" s="39">
        <f t="shared" si="60"/>
        <v>0</v>
      </c>
      <c r="AY79" s="40" t="s">
        <v>278</v>
      </c>
      <c r="AZ79" s="40" t="s">
        <v>122</v>
      </c>
      <c r="BA79" s="30" t="s">
        <v>123</v>
      </c>
      <c r="BC79" s="39">
        <f t="shared" si="61"/>
        <v>0</v>
      </c>
      <c r="BD79" s="39">
        <f t="shared" si="62"/>
        <v>0</v>
      </c>
      <c r="BE79" s="39">
        <v>0</v>
      </c>
      <c r="BF79" s="39">
        <f>79</f>
        <v>79</v>
      </c>
      <c r="BH79" s="39">
        <f t="shared" si="63"/>
        <v>0</v>
      </c>
      <c r="BI79" s="39">
        <f t="shared" si="64"/>
        <v>0</v>
      </c>
      <c r="BJ79" s="39">
        <f t="shared" si="65"/>
        <v>0</v>
      </c>
      <c r="BK79" s="39"/>
      <c r="BL79" s="39">
        <v>734</v>
      </c>
      <c r="BW79" s="39">
        <v>21</v>
      </c>
      <c r="BX79" s="1" t="s">
        <v>313</v>
      </c>
    </row>
    <row r="80" spans="1:76" x14ac:dyDescent="0.25">
      <c r="A80" s="58" t="s">
        <v>314</v>
      </c>
      <c r="B80" s="44" t="s">
        <v>315</v>
      </c>
      <c r="C80" s="157" t="s">
        <v>316</v>
      </c>
      <c r="D80" s="158"/>
      <c r="E80" s="44" t="s">
        <v>118</v>
      </c>
      <c r="F80" s="45">
        <v>1</v>
      </c>
      <c r="G80" s="45">
        <v>0</v>
      </c>
      <c r="H80" s="45">
        <f t="shared" si="44"/>
        <v>0</v>
      </c>
      <c r="I80" s="45">
        <f t="shared" si="45"/>
        <v>0</v>
      </c>
      <c r="J80" s="45">
        <f t="shared" si="46"/>
        <v>0</v>
      </c>
      <c r="K80" s="59" t="s">
        <v>119</v>
      </c>
      <c r="Z80" s="39">
        <f t="shared" si="47"/>
        <v>0</v>
      </c>
      <c r="AB80" s="39">
        <f t="shared" si="48"/>
        <v>0</v>
      </c>
      <c r="AC80" s="39">
        <f t="shared" si="49"/>
        <v>0</v>
      </c>
      <c r="AD80" s="39">
        <f t="shared" si="50"/>
        <v>0</v>
      </c>
      <c r="AE80" s="39">
        <f t="shared" si="51"/>
        <v>0</v>
      </c>
      <c r="AF80" s="39">
        <f t="shared" si="52"/>
        <v>0</v>
      </c>
      <c r="AG80" s="39">
        <f t="shared" si="53"/>
        <v>0</v>
      </c>
      <c r="AH80" s="39">
        <f t="shared" si="54"/>
        <v>0</v>
      </c>
      <c r="AI80" s="30" t="s">
        <v>4</v>
      </c>
      <c r="AJ80" s="39">
        <f t="shared" si="55"/>
        <v>0</v>
      </c>
      <c r="AK80" s="39">
        <f t="shared" si="56"/>
        <v>0</v>
      </c>
      <c r="AL80" s="39">
        <f t="shared" si="57"/>
        <v>0</v>
      </c>
      <c r="AN80" s="39">
        <v>21</v>
      </c>
      <c r="AO80" s="39">
        <f>G80*0.955029018</f>
        <v>0</v>
      </c>
      <c r="AP80" s="39">
        <f>G80*(1-0.955029018)</f>
        <v>0</v>
      </c>
      <c r="AQ80" s="40" t="s">
        <v>120</v>
      </c>
      <c r="AV80" s="39">
        <f t="shared" si="58"/>
        <v>0</v>
      </c>
      <c r="AW80" s="39">
        <f t="shared" si="59"/>
        <v>0</v>
      </c>
      <c r="AX80" s="39">
        <f t="shared" si="60"/>
        <v>0</v>
      </c>
      <c r="AY80" s="40" t="s">
        <v>278</v>
      </c>
      <c r="AZ80" s="40" t="s">
        <v>122</v>
      </c>
      <c r="BA80" s="30" t="s">
        <v>123</v>
      </c>
      <c r="BC80" s="39">
        <f t="shared" si="61"/>
        <v>0</v>
      </c>
      <c r="BD80" s="39">
        <f t="shared" si="62"/>
        <v>0</v>
      </c>
      <c r="BE80" s="39">
        <v>0</v>
      </c>
      <c r="BF80" s="39">
        <f>80</f>
        <v>80</v>
      </c>
      <c r="BH80" s="39">
        <f t="shared" si="63"/>
        <v>0</v>
      </c>
      <c r="BI80" s="39">
        <f t="shared" si="64"/>
        <v>0</v>
      </c>
      <c r="BJ80" s="39">
        <f t="shared" si="65"/>
        <v>0</v>
      </c>
      <c r="BK80" s="39"/>
      <c r="BL80" s="39">
        <v>734</v>
      </c>
      <c r="BW80" s="39">
        <v>21</v>
      </c>
      <c r="BX80" s="1" t="s">
        <v>316</v>
      </c>
    </row>
    <row r="81" spans="1:76" x14ac:dyDescent="0.25">
      <c r="A81" s="58" t="s">
        <v>317</v>
      </c>
      <c r="B81" s="44" t="s">
        <v>318</v>
      </c>
      <c r="C81" s="157" t="s">
        <v>319</v>
      </c>
      <c r="D81" s="158"/>
      <c r="E81" s="44" t="s">
        <v>118</v>
      </c>
      <c r="F81" s="45">
        <v>1</v>
      </c>
      <c r="G81" s="45">
        <v>0</v>
      </c>
      <c r="H81" s="45">
        <f t="shared" si="44"/>
        <v>0</v>
      </c>
      <c r="I81" s="45">
        <f t="shared" si="45"/>
        <v>0</v>
      </c>
      <c r="J81" s="45">
        <f t="shared" si="46"/>
        <v>0</v>
      </c>
      <c r="K81" s="59" t="s">
        <v>119</v>
      </c>
      <c r="Z81" s="39">
        <f t="shared" si="47"/>
        <v>0</v>
      </c>
      <c r="AB81" s="39">
        <f t="shared" si="48"/>
        <v>0</v>
      </c>
      <c r="AC81" s="39">
        <f t="shared" si="49"/>
        <v>0</v>
      </c>
      <c r="AD81" s="39">
        <f t="shared" si="50"/>
        <v>0</v>
      </c>
      <c r="AE81" s="39">
        <f t="shared" si="51"/>
        <v>0</v>
      </c>
      <c r="AF81" s="39">
        <f t="shared" si="52"/>
        <v>0</v>
      </c>
      <c r="AG81" s="39">
        <f t="shared" si="53"/>
        <v>0</v>
      </c>
      <c r="AH81" s="39">
        <f t="shared" si="54"/>
        <v>0</v>
      </c>
      <c r="AI81" s="30" t="s">
        <v>4</v>
      </c>
      <c r="AJ81" s="39">
        <f t="shared" si="55"/>
        <v>0</v>
      </c>
      <c r="AK81" s="39">
        <f t="shared" si="56"/>
        <v>0</v>
      </c>
      <c r="AL81" s="39">
        <f t="shared" si="57"/>
        <v>0</v>
      </c>
      <c r="AN81" s="39">
        <v>21</v>
      </c>
      <c r="AO81" s="39">
        <f>G81*0.960395443</f>
        <v>0</v>
      </c>
      <c r="AP81" s="39">
        <f>G81*(1-0.960395443)</f>
        <v>0</v>
      </c>
      <c r="AQ81" s="40" t="s">
        <v>120</v>
      </c>
      <c r="AV81" s="39">
        <f t="shared" si="58"/>
        <v>0</v>
      </c>
      <c r="AW81" s="39">
        <f t="shared" si="59"/>
        <v>0</v>
      </c>
      <c r="AX81" s="39">
        <f t="shared" si="60"/>
        <v>0</v>
      </c>
      <c r="AY81" s="40" t="s">
        <v>278</v>
      </c>
      <c r="AZ81" s="40" t="s">
        <v>122</v>
      </c>
      <c r="BA81" s="30" t="s">
        <v>123</v>
      </c>
      <c r="BC81" s="39">
        <f t="shared" si="61"/>
        <v>0</v>
      </c>
      <c r="BD81" s="39">
        <f t="shared" si="62"/>
        <v>0</v>
      </c>
      <c r="BE81" s="39">
        <v>0</v>
      </c>
      <c r="BF81" s="39">
        <f>81</f>
        <v>81</v>
      </c>
      <c r="BH81" s="39">
        <f t="shared" si="63"/>
        <v>0</v>
      </c>
      <c r="BI81" s="39">
        <f t="shared" si="64"/>
        <v>0</v>
      </c>
      <c r="BJ81" s="39">
        <f t="shared" si="65"/>
        <v>0</v>
      </c>
      <c r="BK81" s="39"/>
      <c r="BL81" s="39">
        <v>734</v>
      </c>
      <c r="BW81" s="39">
        <v>21</v>
      </c>
      <c r="BX81" s="1" t="s">
        <v>319</v>
      </c>
    </row>
    <row r="82" spans="1:76" x14ac:dyDescent="0.25">
      <c r="A82" s="62" t="s">
        <v>320</v>
      </c>
      <c r="B82" s="49" t="s">
        <v>321</v>
      </c>
      <c r="C82" s="159" t="s">
        <v>322</v>
      </c>
      <c r="D82" s="160"/>
      <c r="E82" s="49" t="s">
        <v>136</v>
      </c>
      <c r="F82" s="50">
        <v>4</v>
      </c>
      <c r="G82" s="50">
        <v>0</v>
      </c>
      <c r="H82" s="50">
        <f t="shared" si="44"/>
        <v>0</v>
      </c>
      <c r="I82" s="50">
        <f t="shared" si="45"/>
        <v>0</v>
      </c>
      <c r="J82" s="50">
        <f t="shared" si="46"/>
        <v>0</v>
      </c>
      <c r="K82" s="63" t="s">
        <v>119</v>
      </c>
      <c r="Z82" s="39">
        <f t="shared" si="47"/>
        <v>0</v>
      </c>
      <c r="AB82" s="39">
        <f t="shared" si="48"/>
        <v>0</v>
      </c>
      <c r="AC82" s="39">
        <f t="shared" si="49"/>
        <v>0</v>
      </c>
      <c r="AD82" s="39">
        <f t="shared" si="50"/>
        <v>0</v>
      </c>
      <c r="AE82" s="39">
        <f t="shared" si="51"/>
        <v>0</v>
      </c>
      <c r="AF82" s="39">
        <f t="shared" si="52"/>
        <v>0</v>
      </c>
      <c r="AG82" s="39">
        <f t="shared" si="53"/>
        <v>0</v>
      </c>
      <c r="AH82" s="39">
        <f t="shared" si="54"/>
        <v>0</v>
      </c>
      <c r="AI82" s="30" t="s">
        <v>4</v>
      </c>
      <c r="AJ82" s="39">
        <f t="shared" si="55"/>
        <v>0</v>
      </c>
      <c r="AK82" s="39">
        <f t="shared" si="56"/>
        <v>0</v>
      </c>
      <c r="AL82" s="39">
        <f t="shared" si="57"/>
        <v>0</v>
      </c>
      <c r="AN82" s="39">
        <v>21</v>
      </c>
      <c r="AO82" s="39">
        <f>G82*0.690954733</f>
        <v>0</v>
      </c>
      <c r="AP82" s="39">
        <f>G82*(1-0.690954733)</f>
        <v>0</v>
      </c>
      <c r="AQ82" s="40" t="s">
        <v>120</v>
      </c>
      <c r="AV82" s="39">
        <f t="shared" si="58"/>
        <v>0</v>
      </c>
      <c r="AW82" s="39">
        <f t="shared" si="59"/>
        <v>0</v>
      </c>
      <c r="AX82" s="39">
        <f t="shared" si="60"/>
        <v>0</v>
      </c>
      <c r="AY82" s="40" t="s">
        <v>278</v>
      </c>
      <c r="AZ82" s="40" t="s">
        <v>122</v>
      </c>
      <c r="BA82" s="30" t="s">
        <v>123</v>
      </c>
      <c r="BC82" s="39">
        <f t="shared" si="61"/>
        <v>0</v>
      </c>
      <c r="BD82" s="39">
        <f t="shared" si="62"/>
        <v>0</v>
      </c>
      <c r="BE82" s="39">
        <v>0</v>
      </c>
      <c r="BF82" s="39">
        <f>82</f>
        <v>82</v>
      </c>
      <c r="BH82" s="39">
        <f t="shared" si="63"/>
        <v>0</v>
      </c>
      <c r="BI82" s="39">
        <f t="shared" si="64"/>
        <v>0</v>
      </c>
      <c r="BJ82" s="39">
        <f t="shared" si="65"/>
        <v>0</v>
      </c>
      <c r="BK82" s="39"/>
      <c r="BL82" s="39">
        <v>734</v>
      </c>
      <c r="BW82" s="39">
        <v>21</v>
      </c>
      <c r="BX82" s="1" t="s">
        <v>322</v>
      </c>
    </row>
    <row r="83" spans="1:76" x14ac:dyDescent="0.25">
      <c r="A83" s="62" t="s">
        <v>323</v>
      </c>
      <c r="B83" s="49" t="s">
        <v>324</v>
      </c>
      <c r="C83" s="159" t="s">
        <v>325</v>
      </c>
      <c r="D83" s="160"/>
      <c r="E83" s="49" t="s">
        <v>136</v>
      </c>
      <c r="F83" s="50">
        <v>2</v>
      </c>
      <c r="G83" s="50">
        <v>0</v>
      </c>
      <c r="H83" s="50">
        <f t="shared" si="44"/>
        <v>0</v>
      </c>
      <c r="I83" s="50">
        <f t="shared" si="45"/>
        <v>0</v>
      </c>
      <c r="J83" s="50">
        <f t="shared" si="46"/>
        <v>0</v>
      </c>
      <c r="K83" s="63" t="s">
        <v>119</v>
      </c>
      <c r="Z83" s="39">
        <f t="shared" si="47"/>
        <v>0</v>
      </c>
      <c r="AB83" s="39">
        <f t="shared" si="48"/>
        <v>0</v>
      </c>
      <c r="AC83" s="39">
        <f t="shared" si="49"/>
        <v>0</v>
      </c>
      <c r="AD83" s="39">
        <f t="shared" si="50"/>
        <v>0</v>
      </c>
      <c r="AE83" s="39">
        <f t="shared" si="51"/>
        <v>0</v>
      </c>
      <c r="AF83" s="39">
        <f t="shared" si="52"/>
        <v>0</v>
      </c>
      <c r="AG83" s="39">
        <f t="shared" si="53"/>
        <v>0</v>
      </c>
      <c r="AH83" s="39">
        <f t="shared" si="54"/>
        <v>0</v>
      </c>
      <c r="AI83" s="30" t="s">
        <v>4</v>
      </c>
      <c r="AJ83" s="39">
        <f t="shared" si="55"/>
        <v>0</v>
      </c>
      <c r="AK83" s="39">
        <f t="shared" si="56"/>
        <v>0</v>
      </c>
      <c r="AL83" s="39">
        <f t="shared" si="57"/>
        <v>0</v>
      </c>
      <c r="AN83" s="39">
        <v>21</v>
      </c>
      <c r="AO83" s="39">
        <f>G83*0.730339526</f>
        <v>0</v>
      </c>
      <c r="AP83" s="39">
        <f>G83*(1-0.730339526)</f>
        <v>0</v>
      </c>
      <c r="AQ83" s="40" t="s">
        <v>120</v>
      </c>
      <c r="AV83" s="39">
        <f t="shared" si="58"/>
        <v>0</v>
      </c>
      <c r="AW83" s="39">
        <f t="shared" si="59"/>
        <v>0</v>
      </c>
      <c r="AX83" s="39">
        <f t="shared" si="60"/>
        <v>0</v>
      </c>
      <c r="AY83" s="40" t="s">
        <v>278</v>
      </c>
      <c r="AZ83" s="40" t="s">
        <v>122</v>
      </c>
      <c r="BA83" s="30" t="s">
        <v>123</v>
      </c>
      <c r="BC83" s="39">
        <f t="shared" si="61"/>
        <v>0</v>
      </c>
      <c r="BD83" s="39">
        <f t="shared" si="62"/>
        <v>0</v>
      </c>
      <c r="BE83" s="39">
        <v>0</v>
      </c>
      <c r="BF83" s="39">
        <f>83</f>
        <v>83</v>
      </c>
      <c r="BH83" s="39">
        <f t="shared" si="63"/>
        <v>0</v>
      </c>
      <c r="BI83" s="39">
        <f t="shared" si="64"/>
        <v>0</v>
      </c>
      <c r="BJ83" s="39">
        <f t="shared" si="65"/>
        <v>0</v>
      </c>
      <c r="BK83" s="39"/>
      <c r="BL83" s="39">
        <v>734</v>
      </c>
      <c r="BW83" s="39">
        <v>21</v>
      </c>
      <c r="BX83" s="1" t="s">
        <v>325</v>
      </c>
    </row>
    <row r="84" spans="1:76" x14ac:dyDescent="0.25">
      <c r="A84" s="58" t="s">
        <v>326</v>
      </c>
      <c r="B84" s="44" t="s">
        <v>327</v>
      </c>
      <c r="C84" s="157" t="s">
        <v>328</v>
      </c>
      <c r="D84" s="158"/>
      <c r="E84" s="44" t="s">
        <v>329</v>
      </c>
      <c r="F84" s="45">
        <v>4</v>
      </c>
      <c r="G84" s="45">
        <v>0</v>
      </c>
      <c r="H84" s="45">
        <f t="shared" si="44"/>
        <v>0</v>
      </c>
      <c r="I84" s="45">
        <f t="shared" si="45"/>
        <v>0</v>
      </c>
      <c r="J84" s="45">
        <f t="shared" si="46"/>
        <v>0</v>
      </c>
      <c r="K84" s="59" t="s">
        <v>119</v>
      </c>
      <c r="Z84" s="39">
        <f t="shared" si="47"/>
        <v>0</v>
      </c>
      <c r="AB84" s="39">
        <f t="shared" si="48"/>
        <v>0</v>
      </c>
      <c r="AC84" s="39">
        <f t="shared" si="49"/>
        <v>0</v>
      </c>
      <c r="AD84" s="39">
        <f t="shared" si="50"/>
        <v>0</v>
      </c>
      <c r="AE84" s="39">
        <f t="shared" si="51"/>
        <v>0</v>
      </c>
      <c r="AF84" s="39">
        <f t="shared" si="52"/>
        <v>0</v>
      </c>
      <c r="AG84" s="39">
        <f t="shared" si="53"/>
        <v>0</v>
      </c>
      <c r="AH84" s="39">
        <f t="shared" si="54"/>
        <v>0</v>
      </c>
      <c r="AI84" s="30" t="s">
        <v>4</v>
      </c>
      <c r="AJ84" s="39">
        <f t="shared" si="55"/>
        <v>0</v>
      </c>
      <c r="AK84" s="39">
        <f t="shared" si="56"/>
        <v>0</v>
      </c>
      <c r="AL84" s="39">
        <f t="shared" si="57"/>
        <v>0</v>
      </c>
      <c r="AN84" s="39">
        <v>21</v>
      </c>
      <c r="AO84" s="39">
        <f>G84*0</f>
        <v>0</v>
      </c>
      <c r="AP84" s="39">
        <f>G84*(1-0)</f>
        <v>0</v>
      </c>
      <c r="AQ84" s="40" t="s">
        <v>124</v>
      </c>
      <c r="AV84" s="39">
        <f t="shared" si="58"/>
        <v>0</v>
      </c>
      <c r="AW84" s="39">
        <f t="shared" si="59"/>
        <v>0</v>
      </c>
      <c r="AX84" s="39">
        <f t="shared" si="60"/>
        <v>0</v>
      </c>
      <c r="AY84" s="40" t="s">
        <v>278</v>
      </c>
      <c r="AZ84" s="40" t="s">
        <v>122</v>
      </c>
      <c r="BA84" s="30" t="s">
        <v>123</v>
      </c>
      <c r="BC84" s="39">
        <f t="shared" si="61"/>
        <v>0</v>
      </c>
      <c r="BD84" s="39">
        <f t="shared" si="62"/>
        <v>0</v>
      </c>
      <c r="BE84" s="39">
        <v>0</v>
      </c>
      <c r="BF84" s="39">
        <f>84</f>
        <v>84</v>
      </c>
      <c r="BH84" s="39">
        <f t="shared" si="63"/>
        <v>0</v>
      </c>
      <c r="BI84" s="39">
        <f t="shared" si="64"/>
        <v>0</v>
      </c>
      <c r="BJ84" s="39">
        <f t="shared" si="65"/>
        <v>0</v>
      </c>
      <c r="BK84" s="39"/>
      <c r="BL84" s="39">
        <v>734</v>
      </c>
      <c r="BW84" s="39">
        <v>21</v>
      </c>
      <c r="BX84" s="1" t="s">
        <v>328</v>
      </c>
    </row>
    <row r="85" spans="1:76" x14ac:dyDescent="0.25">
      <c r="A85" s="62" t="s">
        <v>330</v>
      </c>
      <c r="B85" s="49" t="s">
        <v>331</v>
      </c>
      <c r="C85" s="159" t="s">
        <v>332</v>
      </c>
      <c r="D85" s="160"/>
      <c r="E85" s="49" t="s">
        <v>329</v>
      </c>
      <c r="F85" s="50">
        <v>2</v>
      </c>
      <c r="G85" s="50">
        <v>0</v>
      </c>
      <c r="H85" s="50">
        <f t="shared" si="44"/>
        <v>0</v>
      </c>
      <c r="I85" s="50">
        <f t="shared" si="45"/>
        <v>0</v>
      </c>
      <c r="J85" s="50">
        <f t="shared" si="46"/>
        <v>0</v>
      </c>
      <c r="K85" s="63" t="s">
        <v>119</v>
      </c>
      <c r="Z85" s="39">
        <f t="shared" si="47"/>
        <v>0</v>
      </c>
      <c r="AB85" s="39">
        <f t="shared" si="48"/>
        <v>0</v>
      </c>
      <c r="AC85" s="39">
        <f t="shared" si="49"/>
        <v>0</v>
      </c>
      <c r="AD85" s="39">
        <f t="shared" si="50"/>
        <v>0</v>
      </c>
      <c r="AE85" s="39">
        <f t="shared" si="51"/>
        <v>0</v>
      </c>
      <c r="AF85" s="39">
        <f t="shared" si="52"/>
        <v>0</v>
      </c>
      <c r="AG85" s="39">
        <f t="shared" si="53"/>
        <v>0</v>
      </c>
      <c r="AH85" s="39">
        <f t="shared" si="54"/>
        <v>0</v>
      </c>
      <c r="AI85" s="30" t="s">
        <v>4</v>
      </c>
      <c r="AJ85" s="39">
        <f t="shared" si="55"/>
        <v>0</v>
      </c>
      <c r="AK85" s="39">
        <f t="shared" si="56"/>
        <v>0</v>
      </c>
      <c r="AL85" s="39">
        <f t="shared" si="57"/>
        <v>0</v>
      </c>
      <c r="AN85" s="39">
        <v>21</v>
      </c>
      <c r="AO85" s="39">
        <f>G85*0</f>
        <v>0</v>
      </c>
      <c r="AP85" s="39">
        <f>G85*(1-0)</f>
        <v>0</v>
      </c>
      <c r="AQ85" s="40" t="s">
        <v>124</v>
      </c>
      <c r="AV85" s="39">
        <f t="shared" si="58"/>
        <v>0</v>
      </c>
      <c r="AW85" s="39">
        <f t="shared" si="59"/>
        <v>0</v>
      </c>
      <c r="AX85" s="39">
        <f t="shared" si="60"/>
        <v>0</v>
      </c>
      <c r="AY85" s="40" t="s">
        <v>278</v>
      </c>
      <c r="AZ85" s="40" t="s">
        <v>122</v>
      </c>
      <c r="BA85" s="30" t="s">
        <v>123</v>
      </c>
      <c r="BC85" s="39">
        <f t="shared" si="61"/>
        <v>0</v>
      </c>
      <c r="BD85" s="39">
        <f t="shared" si="62"/>
        <v>0</v>
      </c>
      <c r="BE85" s="39">
        <v>0</v>
      </c>
      <c r="BF85" s="39">
        <f>85</f>
        <v>85</v>
      </c>
      <c r="BH85" s="39">
        <f t="shared" si="63"/>
        <v>0</v>
      </c>
      <c r="BI85" s="39">
        <f t="shared" si="64"/>
        <v>0</v>
      </c>
      <c r="BJ85" s="39">
        <f t="shared" si="65"/>
        <v>0</v>
      </c>
      <c r="BK85" s="39"/>
      <c r="BL85" s="39">
        <v>734</v>
      </c>
      <c r="BW85" s="39">
        <v>21</v>
      </c>
      <c r="BX85" s="1" t="s">
        <v>332</v>
      </c>
    </row>
    <row r="86" spans="1:76" x14ac:dyDescent="0.25">
      <c r="A86" s="62" t="s">
        <v>333</v>
      </c>
      <c r="B86" s="49" t="s">
        <v>334</v>
      </c>
      <c r="C86" s="159" t="s">
        <v>335</v>
      </c>
      <c r="D86" s="160"/>
      <c r="E86" s="49" t="s">
        <v>136</v>
      </c>
      <c r="F86" s="50">
        <v>1</v>
      </c>
      <c r="G86" s="50">
        <v>0</v>
      </c>
      <c r="H86" s="50">
        <f t="shared" si="44"/>
        <v>0</v>
      </c>
      <c r="I86" s="50">
        <f t="shared" si="45"/>
        <v>0</v>
      </c>
      <c r="J86" s="50">
        <f t="shared" si="46"/>
        <v>0</v>
      </c>
      <c r="K86" s="63" t="s">
        <v>119</v>
      </c>
      <c r="Z86" s="39">
        <f t="shared" si="47"/>
        <v>0</v>
      </c>
      <c r="AB86" s="39">
        <f t="shared" si="48"/>
        <v>0</v>
      </c>
      <c r="AC86" s="39">
        <f t="shared" si="49"/>
        <v>0</v>
      </c>
      <c r="AD86" s="39">
        <f t="shared" si="50"/>
        <v>0</v>
      </c>
      <c r="AE86" s="39">
        <f t="shared" si="51"/>
        <v>0</v>
      </c>
      <c r="AF86" s="39">
        <f t="shared" si="52"/>
        <v>0</v>
      </c>
      <c r="AG86" s="39">
        <f t="shared" si="53"/>
        <v>0</v>
      </c>
      <c r="AH86" s="39">
        <f t="shared" si="54"/>
        <v>0</v>
      </c>
      <c r="AI86" s="30" t="s">
        <v>4</v>
      </c>
      <c r="AJ86" s="39">
        <f t="shared" si="55"/>
        <v>0</v>
      </c>
      <c r="AK86" s="39">
        <f t="shared" si="56"/>
        <v>0</v>
      </c>
      <c r="AL86" s="39">
        <f t="shared" si="57"/>
        <v>0</v>
      </c>
      <c r="AN86" s="39">
        <v>21</v>
      </c>
      <c r="AO86" s="39">
        <f>G86*0.568129353</f>
        <v>0</v>
      </c>
      <c r="AP86" s="39">
        <f>G86*(1-0.568129353)</f>
        <v>0</v>
      </c>
      <c r="AQ86" s="40" t="s">
        <v>120</v>
      </c>
      <c r="AV86" s="39">
        <f t="shared" si="58"/>
        <v>0</v>
      </c>
      <c r="AW86" s="39">
        <f t="shared" si="59"/>
        <v>0</v>
      </c>
      <c r="AX86" s="39">
        <f t="shared" si="60"/>
        <v>0</v>
      </c>
      <c r="AY86" s="40" t="s">
        <v>278</v>
      </c>
      <c r="AZ86" s="40" t="s">
        <v>122</v>
      </c>
      <c r="BA86" s="30" t="s">
        <v>123</v>
      </c>
      <c r="BC86" s="39">
        <f t="shared" si="61"/>
        <v>0</v>
      </c>
      <c r="BD86" s="39">
        <f t="shared" si="62"/>
        <v>0</v>
      </c>
      <c r="BE86" s="39">
        <v>0</v>
      </c>
      <c r="BF86" s="39">
        <f>86</f>
        <v>86</v>
      </c>
      <c r="BH86" s="39">
        <f t="shared" si="63"/>
        <v>0</v>
      </c>
      <c r="BI86" s="39">
        <f t="shared" si="64"/>
        <v>0</v>
      </c>
      <c r="BJ86" s="39">
        <f t="shared" si="65"/>
        <v>0</v>
      </c>
      <c r="BK86" s="39"/>
      <c r="BL86" s="39">
        <v>734</v>
      </c>
      <c r="BW86" s="39">
        <v>21</v>
      </c>
      <c r="BX86" s="1" t="s">
        <v>335</v>
      </c>
    </row>
    <row r="87" spans="1:76" x14ac:dyDescent="0.25">
      <c r="A87" s="58" t="s">
        <v>336</v>
      </c>
      <c r="B87" s="44" t="s">
        <v>337</v>
      </c>
      <c r="C87" s="157" t="s">
        <v>338</v>
      </c>
      <c r="D87" s="158"/>
      <c r="E87" s="44" t="s">
        <v>136</v>
      </c>
      <c r="F87" s="45">
        <v>1</v>
      </c>
      <c r="G87" s="45">
        <v>0</v>
      </c>
      <c r="H87" s="45">
        <f t="shared" si="44"/>
        <v>0</v>
      </c>
      <c r="I87" s="45">
        <f t="shared" si="45"/>
        <v>0</v>
      </c>
      <c r="J87" s="45">
        <f t="shared" si="46"/>
        <v>0</v>
      </c>
      <c r="K87" s="59" t="s">
        <v>119</v>
      </c>
      <c r="Z87" s="39">
        <f t="shared" si="47"/>
        <v>0</v>
      </c>
      <c r="AB87" s="39">
        <f t="shared" si="48"/>
        <v>0</v>
      </c>
      <c r="AC87" s="39">
        <f t="shared" si="49"/>
        <v>0</v>
      </c>
      <c r="AD87" s="39">
        <f t="shared" si="50"/>
        <v>0</v>
      </c>
      <c r="AE87" s="39">
        <f t="shared" si="51"/>
        <v>0</v>
      </c>
      <c r="AF87" s="39">
        <f t="shared" si="52"/>
        <v>0</v>
      </c>
      <c r="AG87" s="39">
        <f t="shared" si="53"/>
        <v>0</v>
      </c>
      <c r="AH87" s="39">
        <f t="shared" si="54"/>
        <v>0</v>
      </c>
      <c r="AI87" s="30" t="s">
        <v>4</v>
      </c>
      <c r="AJ87" s="39">
        <f t="shared" si="55"/>
        <v>0</v>
      </c>
      <c r="AK87" s="39">
        <f t="shared" si="56"/>
        <v>0</v>
      </c>
      <c r="AL87" s="39">
        <f t="shared" si="57"/>
        <v>0</v>
      </c>
      <c r="AN87" s="39">
        <v>21</v>
      </c>
      <c r="AO87" s="39">
        <f>G87*0.606229397</f>
        <v>0</v>
      </c>
      <c r="AP87" s="39">
        <f>G87*(1-0.606229397)</f>
        <v>0</v>
      </c>
      <c r="AQ87" s="40" t="s">
        <v>120</v>
      </c>
      <c r="AV87" s="39">
        <f t="shared" si="58"/>
        <v>0</v>
      </c>
      <c r="AW87" s="39">
        <f t="shared" si="59"/>
        <v>0</v>
      </c>
      <c r="AX87" s="39">
        <f t="shared" si="60"/>
        <v>0</v>
      </c>
      <c r="AY87" s="40" t="s">
        <v>278</v>
      </c>
      <c r="AZ87" s="40" t="s">
        <v>122</v>
      </c>
      <c r="BA87" s="30" t="s">
        <v>123</v>
      </c>
      <c r="BC87" s="39">
        <f t="shared" si="61"/>
        <v>0</v>
      </c>
      <c r="BD87" s="39">
        <f t="shared" si="62"/>
        <v>0</v>
      </c>
      <c r="BE87" s="39">
        <v>0</v>
      </c>
      <c r="BF87" s="39">
        <f>87</f>
        <v>87</v>
      </c>
      <c r="BH87" s="39">
        <f t="shared" si="63"/>
        <v>0</v>
      </c>
      <c r="BI87" s="39">
        <f t="shared" si="64"/>
        <v>0</v>
      </c>
      <c r="BJ87" s="39">
        <f t="shared" si="65"/>
        <v>0</v>
      </c>
      <c r="BK87" s="39"/>
      <c r="BL87" s="39">
        <v>734</v>
      </c>
      <c r="BW87" s="39">
        <v>21</v>
      </c>
      <c r="BX87" s="1" t="s">
        <v>338</v>
      </c>
    </row>
    <row r="88" spans="1:76" x14ac:dyDescent="0.25">
      <c r="A88" s="58" t="s">
        <v>339</v>
      </c>
      <c r="B88" s="44" t="s">
        <v>340</v>
      </c>
      <c r="C88" s="157" t="s">
        <v>341</v>
      </c>
      <c r="D88" s="158"/>
      <c r="E88" s="44" t="s">
        <v>118</v>
      </c>
      <c r="F88" s="45">
        <v>33</v>
      </c>
      <c r="G88" s="45">
        <v>0</v>
      </c>
      <c r="H88" s="45">
        <f t="shared" si="44"/>
        <v>0</v>
      </c>
      <c r="I88" s="45">
        <f t="shared" si="45"/>
        <v>0</v>
      </c>
      <c r="J88" s="45">
        <f t="shared" si="46"/>
        <v>0</v>
      </c>
      <c r="K88" s="59" t="s">
        <v>119</v>
      </c>
      <c r="Z88" s="39">
        <f t="shared" si="47"/>
        <v>0</v>
      </c>
      <c r="AB88" s="39">
        <f t="shared" si="48"/>
        <v>0</v>
      </c>
      <c r="AC88" s="39">
        <f t="shared" si="49"/>
        <v>0</v>
      </c>
      <c r="AD88" s="39">
        <f t="shared" si="50"/>
        <v>0</v>
      </c>
      <c r="AE88" s="39">
        <f t="shared" si="51"/>
        <v>0</v>
      </c>
      <c r="AF88" s="39">
        <f t="shared" si="52"/>
        <v>0</v>
      </c>
      <c r="AG88" s="39">
        <f t="shared" si="53"/>
        <v>0</v>
      </c>
      <c r="AH88" s="39">
        <f t="shared" si="54"/>
        <v>0</v>
      </c>
      <c r="AI88" s="30" t="s">
        <v>4</v>
      </c>
      <c r="AJ88" s="39">
        <f t="shared" si="55"/>
        <v>0</v>
      </c>
      <c r="AK88" s="39">
        <f t="shared" si="56"/>
        <v>0</v>
      </c>
      <c r="AL88" s="39">
        <f t="shared" si="57"/>
        <v>0</v>
      </c>
      <c r="AN88" s="39">
        <v>21</v>
      </c>
      <c r="AO88" s="39">
        <f>G88*0.062300319</f>
        <v>0</v>
      </c>
      <c r="AP88" s="39">
        <f>G88*(1-0.062300319)</f>
        <v>0</v>
      </c>
      <c r="AQ88" s="40" t="s">
        <v>120</v>
      </c>
      <c r="AV88" s="39">
        <f t="shared" si="58"/>
        <v>0</v>
      </c>
      <c r="AW88" s="39">
        <f t="shared" si="59"/>
        <v>0</v>
      </c>
      <c r="AX88" s="39">
        <f t="shared" si="60"/>
        <v>0</v>
      </c>
      <c r="AY88" s="40" t="s">
        <v>278</v>
      </c>
      <c r="AZ88" s="40" t="s">
        <v>122</v>
      </c>
      <c r="BA88" s="30" t="s">
        <v>123</v>
      </c>
      <c r="BC88" s="39">
        <f t="shared" si="61"/>
        <v>0</v>
      </c>
      <c r="BD88" s="39">
        <f t="shared" si="62"/>
        <v>0</v>
      </c>
      <c r="BE88" s="39">
        <v>0</v>
      </c>
      <c r="BF88" s="39">
        <f>88</f>
        <v>88</v>
      </c>
      <c r="BH88" s="39">
        <f t="shared" si="63"/>
        <v>0</v>
      </c>
      <c r="BI88" s="39">
        <f t="shared" si="64"/>
        <v>0</v>
      </c>
      <c r="BJ88" s="39">
        <f t="shared" si="65"/>
        <v>0</v>
      </c>
      <c r="BK88" s="39"/>
      <c r="BL88" s="39">
        <v>734</v>
      </c>
      <c r="BW88" s="39">
        <v>21</v>
      </c>
      <c r="BX88" s="1" t="s">
        <v>341</v>
      </c>
    </row>
    <row r="89" spans="1:76" x14ac:dyDescent="0.25">
      <c r="A89" s="58" t="s">
        <v>342</v>
      </c>
      <c r="B89" s="44" t="s">
        <v>343</v>
      </c>
      <c r="C89" s="157" t="s">
        <v>344</v>
      </c>
      <c r="D89" s="158"/>
      <c r="E89" s="44" t="s">
        <v>118</v>
      </c>
      <c r="F89" s="45">
        <v>1</v>
      </c>
      <c r="G89" s="45">
        <v>0</v>
      </c>
      <c r="H89" s="45">
        <f t="shared" si="44"/>
        <v>0</v>
      </c>
      <c r="I89" s="45">
        <f t="shared" si="45"/>
        <v>0</v>
      </c>
      <c r="J89" s="45">
        <f t="shared" si="46"/>
        <v>0</v>
      </c>
      <c r="K89" s="59" t="s">
        <v>119</v>
      </c>
      <c r="Z89" s="39">
        <f t="shared" si="47"/>
        <v>0</v>
      </c>
      <c r="AB89" s="39">
        <f t="shared" si="48"/>
        <v>0</v>
      </c>
      <c r="AC89" s="39">
        <f t="shared" si="49"/>
        <v>0</v>
      </c>
      <c r="AD89" s="39">
        <f t="shared" si="50"/>
        <v>0</v>
      </c>
      <c r="AE89" s="39">
        <f t="shared" si="51"/>
        <v>0</v>
      </c>
      <c r="AF89" s="39">
        <f t="shared" si="52"/>
        <v>0</v>
      </c>
      <c r="AG89" s="39">
        <f t="shared" si="53"/>
        <v>0</v>
      </c>
      <c r="AH89" s="39">
        <f t="shared" si="54"/>
        <v>0</v>
      </c>
      <c r="AI89" s="30" t="s">
        <v>4</v>
      </c>
      <c r="AJ89" s="39">
        <f t="shared" si="55"/>
        <v>0</v>
      </c>
      <c r="AK89" s="39">
        <f t="shared" si="56"/>
        <v>0</v>
      </c>
      <c r="AL89" s="39">
        <f t="shared" si="57"/>
        <v>0</v>
      </c>
      <c r="AN89" s="39">
        <v>21</v>
      </c>
      <c r="AO89" s="39">
        <f>G89*0.063465046</f>
        <v>0</v>
      </c>
      <c r="AP89" s="39">
        <f>G89*(1-0.063465046)</f>
        <v>0</v>
      </c>
      <c r="AQ89" s="40" t="s">
        <v>120</v>
      </c>
      <c r="AV89" s="39">
        <f t="shared" si="58"/>
        <v>0</v>
      </c>
      <c r="AW89" s="39">
        <f t="shared" si="59"/>
        <v>0</v>
      </c>
      <c r="AX89" s="39">
        <f t="shared" si="60"/>
        <v>0</v>
      </c>
      <c r="AY89" s="40" t="s">
        <v>278</v>
      </c>
      <c r="AZ89" s="40" t="s">
        <v>122</v>
      </c>
      <c r="BA89" s="30" t="s">
        <v>123</v>
      </c>
      <c r="BC89" s="39">
        <f t="shared" si="61"/>
        <v>0</v>
      </c>
      <c r="BD89" s="39">
        <f t="shared" si="62"/>
        <v>0</v>
      </c>
      <c r="BE89" s="39">
        <v>0</v>
      </c>
      <c r="BF89" s="39">
        <f>89</f>
        <v>89</v>
      </c>
      <c r="BH89" s="39">
        <f t="shared" si="63"/>
        <v>0</v>
      </c>
      <c r="BI89" s="39">
        <f t="shared" si="64"/>
        <v>0</v>
      </c>
      <c r="BJ89" s="39">
        <f t="shared" si="65"/>
        <v>0</v>
      </c>
      <c r="BK89" s="39"/>
      <c r="BL89" s="39">
        <v>734</v>
      </c>
      <c r="BW89" s="39">
        <v>21</v>
      </c>
      <c r="BX89" s="1" t="s">
        <v>344</v>
      </c>
    </row>
    <row r="90" spans="1:76" x14ac:dyDescent="0.25">
      <c r="A90" s="58" t="s">
        <v>345</v>
      </c>
      <c r="B90" s="44" t="s">
        <v>151</v>
      </c>
      <c r="C90" s="157" t="s">
        <v>152</v>
      </c>
      <c r="D90" s="158"/>
      <c r="E90" s="44" t="s">
        <v>118</v>
      </c>
      <c r="F90" s="45">
        <v>8</v>
      </c>
      <c r="G90" s="45">
        <v>0</v>
      </c>
      <c r="H90" s="45">
        <f t="shared" si="44"/>
        <v>0</v>
      </c>
      <c r="I90" s="45">
        <f t="shared" si="45"/>
        <v>0</v>
      </c>
      <c r="J90" s="45">
        <f t="shared" si="46"/>
        <v>0</v>
      </c>
      <c r="K90" s="59" t="s">
        <v>119</v>
      </c>
      <c r="Z90" s="39">
        <f t="shared" si="47"/>
        <v>0</v>
      </c>
      <c r="AB90" s="39">
        <f t="shared" si="48"/>
        <v>0</v>
      </c>
      <c r="AC90" s="39">
        <f t="shared" si="49"/>
        <v>0</v>
      </c>
      <c r="AD90" s="39">
        <f t="shared" si="50"/>
        <v>0</v>
      </c>
      <c r="AE90" s="39">
        <f t="shared" si="51"/>
        <v>0</v>
      </c>
      <c r="AF90" s="39">
        <f t="shared" si="52"/>
        <v>0</v>
      </c>
      <c r="AG90" s="39">
        <f t="shared" si="53"/>
        <v>0</v>
      </c>
      <c r="AH90" s="39">
        <f t="shared" si="54"/>
        <v>0</v>
      </c>
      <c r="AI90" s="30" t="s">
        <v>4</v>
      </c>
      <c r="AJ90" s="39">
        <f t="shared" si="55"/>
        <v>0</v>
      </c>
      <c r="AK90" s="39">
        <f t="shared" si="56"/>
        <v>0</v>
      </c>
      <c r="AL90" s="39">
        <f t="shared" si="57"/>
        <v>0</v>
      </c>
      <c r="AN90" s="39">
        <v>21</v>
      </c>
      <c r="AO90" s="39">
        <f>G90*0.066542923</f>
        <v>0</v>
      </c>
      <c r="AP90" s="39">
        <f>G90*(1-0.066542923)</f>
        <v>0</v>
      </c>
      <c r="AQ90" s="40" t="s">
        <v>120</v>
      </c>
      <c r="AV90" s="39">
        <f t="shared" si="58"/>
        <v>0</v>
      </c>
      <c r="AW90" s="39">
        <f t="shared" si="59"/>
        <v>0</v>
      </c>
      <c r="AX90" s="39">
        <f t="shared" si="60"/>
        <v>0</v>
      </c>
      <c r="AY90" s="40" t="s">
        <v>278</v>
      </c>
      <c r="AZ90" s="40" t="s">
        <v>122</v>
      </c>
      <c r="BA90" s="30" t="s">
        <v>123</v>
      </c>
      <c r="BC90" s="39">
        <f t="shared" si="61"/>
        <v>0</v>
      </c>
      <c r="BD90" s="39">
        <f t="shared" si="62"/>
        <v>0</v>
      </c>
      <c r="BE90" s="39">
        <v>0</v>
      </c>
      <c r="BF90" s="39">
        <f>90</f>
        <v>90</v>
      </c>
      <c r="BH90" s="39">
        <f t="shared" si="63"/>
        <v>0</v>
      </c>
      <c r="BI90" s="39">
        <f t="shared" si="64"/>
        <v>0</v>
      </c>
      <c r="BJ90" s="39">
        <f t="shared" si="65"/>
        <v>0</v>
      </c>
      <c r="BK90" s="39"/>
      <c r="BL90" s="39">
        <v>734</v>
      </c>
      <c r="BW90" s="39">
        <v>21</v>
      </c>
      <c r="BX90" s="1" t="s">
        <v>152</v>
      </c>
    </row>
    <row r="91" spans="1:76" x14ac:dyDescent="0.25">
      <c r="A91" s="58" t="s">
        <v>346</v>
      </c>
      <c r="B91" s="44" t="s">
        <v>347</v>
      </c>
      <c r="C91" s="157" t="s">
        <v>348</v>
      </c>
      <c r="D91" s="158"/>
      <c r="E91" s="44" t="s">
        <v>118</v>
      </c>
      <c r="F91" s="45">
        <v>5</v>
      </c>
      <c r="G91" s="45">
        <v>0</v>
      </c>
      <c r="H91" s="45">
        <f t="shared" si="44"/>
        <v>0</v>
      </c>
      <c r="I91" s="45">
        <f t="shared" si="45"/>
        <v>0</v>
      </c>
      <c r="J91" s="45">
        <f t="shared" si="46"/>
        <v>0</v>
      </c>
      <c r="K91" s="59" t="s">
        <v>119</v>
      </c>
      <c r="Z91" s="39">
        <f t="shared" si="47"/>
        <v>0</v>
      </c>
      <c r="AB91" s="39">
        <f t="shared" si="48"/>
        <v>0</v>
      </c>
      <c r="AC91" s="39">
        <f t="shared" si="49"/>
        <v>0</v>
      </c>
      <c r="AD91" s="39">
        <f t="shared" si="50"/>
        <v>0</v>
      </c>
      <c r="AE91" s="39">
        <f t="shared" si="51"/>
        <v>0</v>
      </c>
      <c r="AF91" s="39">
        <f t="shared" si="52"/>
        <v>0</v>
      </c>
      <c r="AG91" s="39">
        <f t="shared" si="53"/>
        <v>0</v>
      </c>
      <c r="AH91" s="39">
        <f t="shared" si="54"/>
        <v>0</v>
      </c>
      <c r="AI91" s="30" t="s">
        <v>4</v>
      </c>
      <c r="AJ91" s="39">
        <f t="shared" si="55"/>
        <v>0</v>
      </c>
      <c r="AK91" s="39">
        <f t="shared" si="56"/>
        <v>0</v>
      </c>
      <c r="AL91" s="39">
        <f t="shared" si="57"/>
        <v>0</v>
      </c>
      <c r="AN91" s="39">
        <v>21</v>
      </c>
      <c r="AO91" s="39">
        <f>G91*0.092808989</f>
        <v>0</v>
      </c>
      <c r="AP91" s="39">
        <f>G91*(1-0.092808989)</f>
        <v>0</v>
      </c>
      <c r="AQ91" s="40" t="s">
        <v>120</v>
      </c>
      <c r="AV91" s="39">
        <f t="shared" si="58"/>
        <v>0</v>
      </c>
      <c r="AW91" s="39">
        <f t="shared" si="59"/>
        <v>0</v>
      </c>
      <c r="AX91" s="39">
        <f t="shared" si="60"/>
        <v>0</v>
      </c>
      <c r="AY91" s="40" t="s">
        <v>278</v>
      </c>
      <c r="AZ91" s="40" t="s">
        <v>122</v>
      </c>
      <c r="BA91" s="30" t="s">
        <v>123</v>
      </c>
      <c r="BC91" s="39">
        <f t="shared" si="61"/>
        <v>0</v>
      </c>
      <c r="BD91" s="39">
        <f t="shared" si="62"/>
        <v>0</v>
      </c>
      <c r="BE91" s="39">
        <v>0</v>
      </c>
      <c r="BF91" s="39">
        <f>91</f>
        <v>91</v>
      </c>
      <c r="BH91" s="39">
        <f t="shared" si="63"/>
        <v>0</v>
      </c>
      <c r="BI91" s="39">
        <f t="shared" si="64"/>
        <v>0</v>
      </c>
      <c r="BJ91" s="39">
        <f t="shared" si="65"/>
        <v>0</v>
      </c>
      <c r="BK91" s="39"/>
      <c r="BL91" s="39">
        <v>734</v>
      </c>
      <c r="BW91" s="39">
        <v>21</v>
      </c>
      <c r="BX91" s="1" t="s">
        <v>348</v>
      </c>
    </row>
    <row r="92" spans="1:76" x14ac:dyDescent="0.25">
      <c r="A92" s="58" t="s">
        <v>349</v>
      </c>
      <c r="B92" s="44" t="s">
        <v>350</v>
      </c>
      <c r="C92" s="157" t="s">
        <v>351</v>
      </c>
      <c r="D92" s="158"/>
      <c r="E92" s="44" t="s">
        <v>178</v>
      </c>
      <c r="F92" s="45">
        <v>0.1108</v>
      </c>
      <c r="G92" s="45">
        <v>0</v>
      </c>
      <c r="H92" s="45">
        <f t="shared" si="44"/>
        <v>0</v>
      </c>
      <c r="I92" s="45">
        <f t="shared" si="45"/>
        <v>0</v>
      </c>
      <c r="J92" s="45">
        <f t="shared" si="46"/>
        <v>0</v>
      </c>
      <c r="K92" s="59" t="s">
        <v>119</v>
      </c>
      <c r="Z92" s="39">
        <f t="shared" si="47"/>
        <v>0</v>
      </c>
      <c r="AB92" s="39">
        <f t="shared" si="48"/>
        <v>0</v>
      </c>
      <c r="AC92" s="39">
        <f t="shared" si="49"/>
        <v>0</v>
      </c>
      <c r="AD92" s="39">
        <f t="shared" si="50"/>
        <v>0</v>
      </c>
      <c r="AE92" s="39">
        <f t="shared" si="51"/>
        <v>0</v>
      </c>
      <c r="AF92" s="39">
        <f t="shared" si="52"/>
        <v>0</v>
      </c>
      <c r="AG92" s="39">
        <f t="shared" si="53"/>
        <v>0</v>
      </c>
      <c r="AH92" s="39">
        <f t="shared" si="54"/>
        <v>0</v>
      </c>
      <c r="AI92" s="30" t="s">
        <v>4</v>
      </c>
      <c r="AJ92" s="39">
        <f t="shared" si="55"/>
        <v>0</v>
      </c>
      <c r="AK92" s="39">
        <f t="shared" si="56"/>
        <v>0</v>
      </c>
      <c r="AL92" s="39">
        <f t="shared" si="57"/>
        <v>0</v>
      </c>
      <c r="AN92" s="39">
        <v>21</v>
      </c>
      <c r="AO92" s="39">
        <f>G92*0</f>
        <v>0</v>
      </c>
      <c r="AP92" s="39">
        <f>G92*(1-0)</f>
        <v>0</v>
      </c>
      <c r="AQ92" s="40" t="s">
        <v>137</v>
      </c>
      <c r="AV92" s="39">
        <f t="shared" si="58"/>
        <v>0</v>
      </c>
      <c r="AW92" s="39">
        <f t="shared" si="59"/>
        <v>0</v>
      </c>
      <c r="AX92" s="39">
        <f t="shared" si="60"/>
        <v>0</v>
      </c>
      <c r="AY92" s="40" t="s">
        <v>278</v>
      </c>
      <c r="AZ92" s="40" t="s">
        <v>122</v>
      </c>
      <c r="BA92" s="30" t="s">
        <v>123</v>
      </c>
      <c r="BC92" s="39">
        <f t="shared" si="61"/>
        <v>0</v>
      </c>
      <c r="BD92" s="39">
        <f t="shared" si="62"/>
        <v>0</v>
      </c>
      <c r="BE92" s="39">
        <v>0</v>
      </c>
      <c r="BF92" s="39">
        <f>92</f>
        <v>92</v>
      </c>
      <c r="BH92" s="39">
        <f t="shared" si="63"/>
        <v>0</v>
      </c>
      <c r="BI92" s="39">
        <f t="shared" si="64"/>
        <v>0</v>
      </c>
      <c r="BJ92" s="39">
        <f t="shared" si="65"/>
        <v>0</v>
      </c>
      <c r="BK92" s="39"/>
      <c r="BL92" s="39">
        <v>734</v>
      </c>
      <c r="BW92" s="39">
        <v>21</v>
      </c>
      <c r="BX92" s="1" t="s">
        <v>351</v>
      </c>
    </row>
    <row r="93" spans="1:76" x14ac:dyDescent="0.25">
      <c r="A93" s="64" t="s">
        <v>4</v>
      </c>
      <c r="B93" s="42" t="s">
        <v>352</v>
      </c>
      <c r="C93" s="161" t="s">
        <v>353</v>
      </c>
      <c r="D93" s="162"/>
      <c r="E93" s="41" t="s">
        <v>77</v>
      </c>
      <c r="F93" s="41" t="s">
        <v>77</v>
      </c>
      <c r="G93" s="41" t="s">
        <v>77</v>
      </c>
      <c r="H93" s="43">
        <f>SUM(H94:H109)</f>
        <v>0</v>
      </c>
      <c r="I93" s="43">
        <f>SUM(I94:I109)</f>
        <v>0</v>
      </c>
      <c r="J93" s="43">
        <f>SUM(J94:J109)</f>
        <v>0</v>
      </c>
      <c r="K93" s="65" t="s">
        <v>4</v>
      </c>
      <c r="AI93" s="30" t="s">
        <v>4</v>
      </c>
      <c r="AS93" s="24">
        <f>SUM(AJ94:AJ109)</f>
        <v>0</v>
      </c>
      <c r="AT93" s="24">
        <f>SUM(AK94:AK109)</f>
        <v>0</v>
      </c>
      <c r="AU93" s="24">
        <f>SUM(AL94:AL109)</f>
        <v>0</v>
      </c>
    </row>
    <row r="94" spans="1:76" x14ac:dyDescent="0.25">
      <c r="A94" s="58" t="s">
        <v>354</v>
      </c>
      <c r="B94" s="44" t="s">
        <v>355</v>
      </c>
      <c r="C94" s="157" t="s">
        <v>356</v>
      </c>
      <c r="D94" s="158"/>
      <c r="E94" s="44" t="s">
        <v>118</v>
      </c>
      <c r="F94" s="45">
        <v>3</v>
      </c>
      <c r="G94" s="45">
        <v>0</v>
      </c>
      <c r="H94" s="45">
        <f t="shared" ref="H94:H109" si="66">F94*AO94</f>
        <v>0</v>
      </c>
      <c r="I94" s="45">
        <f t="shared" ref="I94:I109" si="67">F94*AP94</f>
        <v>0</v>
      </c>
      <c r="J94" s="45">
        <f t="shared" ref="J94:J109" si="68">F94*G94</f>
        <v>0</v>
      </c>
      <c r="K94" s="59" t="s">
        <v>119</v>
      </c>
      <c r="Z94" s="39">
        <f t="shared" ref="Z94:Z109" si="69">IF(AQ94="5",BJ94,0)</f>
        <v>0</v>
      </c>
      <c r="AB94" s="39">
        <f t="shared" ref="AB94:AB109" si="70">IF(AQ94="1",BH94,0)</f>
        <v>0</v>
      </c>
      <c r="AC94" s="39">
        <f t="shared" ref="AC94:AC109" si="71">IF(AQ94="1",BI94,0)</f>
        <v>0</v>
      </c>
      <c r="AD94" s="39">
        <f t="shared" ref="AD94:AD109" si="72">IF(AQ94="7",BH94,0)</f>
        <v>0</v>
      </c>
      <c r="AE94" s="39">
        <f t="shared" ref="AE94:AE109" si="73">IF(AQ94="7",BI94,0)</f>
        <v>0</v>
      </c>
      <c r="AF94" s="39">
        <f t="shared" ref="AF94:AF109" si="74">IF(AQ94="2",BH94,0)</f>
        <v>0</v>
      </c>
      <c r="AG94" s="39">
        <f t="shared" ref="AG94:AG109" si="75">IF(AQ94="2",BI94,0)</f>
        <v>0</v>
      </c>
      <c r="AH94" s="39">
        <f t="shared" ref="AH94:AH109" si="76">IF(AQ94="0",BJ94,0)</f>
        <v>0</v>
      </c>
      <c r="AI94" s="30" t="s">
        <v>4</v>
      </c>
      <c r="AJ94" s="39">
        <f t="shared" ref="AJ94:AJ109" si="77">IF(AN94=0,J94,0)</f>
        <v>0</v>
      </c>
      <c r="AK94" s="39">
        <f t="shared" ref="AK94:AK109" si="78">IF(AN94=12,J94,0)</f>
        <v>0</v>
      </c>
      <c r="AL94" s="39">
        <f t="shared" ref="AL94:AL109" si="79">IF(AN94=21,J94,0)</f>
        <v>0</v>
      </c>
      <c r="AN94" s="39">
        <v>21</v>
      </c>
      <c r="AO94" s="39">
        <f>G94*0.854560445</f>
        <v>0</v>
      </c>
      <c r="AP94" s="39">
        <f>G94*(1-0.854560445)</f>
        <v>0</v>
      </c>
      <c r="AQ94" s="40" t="s">
        <v>120</v>
      </c>
      <c r="AV94" s="39">
        <f t="shared" ref="AV94:AV109" si="80">AW94+AX94</f>
        <v>0</v>
      </c>
      <c r="AW94" s="39">
        <f t="shared" ref="AW94:AW109" si="81">F94*AO94</f>
        <v>0</v>
      </c>
      <c r="AX94" s="39">
        <f t="shared" ref="AX94:AX109" si="82">F94*AP94</f>
        <v>0</v>
      </c>
      <c r="AY94" s="40" t="s">
        <v>357</v>
      </c>
      <c r="AZ94" s="40" t="s">
        <v>358</v>
      </c>
      <c r="BA94" s="30" t="s">
        <v>123</v>
      </c>
      <c r="BC94" s="39">
        <f t="shared" ref="BC94:BC109" si="83">AW94+AX94</f>
        <v>0</v>
      </c>
      <c r="BD94" s="39">
        <f t="shared" ref="BD94:BD109" si="84">G94/(100-BE94)*100</f>
        <v>0</v>
      </c>
      <c r="BE94" s="39">
        <v>0</v>
      </c>
      <c r="BF94" s="39">
        <f>94</f>
        <v>94</v>
      </c>
      <c r="BH94" s="39">
        <f t="shared" ref="BH94:BH109" si="85">F94*AO94</f>
        <v>0</v>
      </c>
      <c r="BI94" s="39">
        <f t="shared" ref="BI94:BI109" si="86">F94*AP94</f>
        <v>0</v>
      </c>
      <c r="BJ94" s="39">
        <f t="shared" ref="BJ94:BJ109" si="87">F94*G94</f>
        <v>0</v>
      </c>
      <c r="BK94" s="39"/>
      <c r="BL94" s="39">
        <v>722</v>
      </c>
      <c r="BW94" s="39">
        <v>21</v>
      </c>
      <c r="BX94" s="1" t="s">
        <v>356</v>
      </c>
    </row>
    <row r="95" spans="1:76" x14ac:dyDescent="0.25">
      <c r="A95" s="58" t="s">
        <v>359</v>
      </c>
      <c r="B95" s="44" t="s">
        <v>360</v>
      </c>
      <c r="C95" s="157" t="s">
        <v>361</v>
      </c>
      <c r="D95" s="158"/>
      <c r="E95" s="44" t="s">
        <v>118</v>
      </c>
      <c r="F95" s="45">
        <v>2</v>
      </c>
      <c r="G95" s="45">
        <v>0</v>
      </c>
      <c r="H95" s="45">
        <f t="shared" si="66"/>
        <v>0</v>
      </c>
      <c r="I95" s="45">
        <f t="shared" si="67"/>
        <v>0</v>
      </c>
      <c r="J95" s="45">
        <f t="shared" si="68"/>
        <v>0</v>
      </c>
      <c r="K95" s="59" t="s">
        <v>119</v>
      </c>
      <c r="Z95" s="39">
        <f t="shared" si="69"/>
        <v>0</v>
      </c>
      <c r="AB95" s="39">
        <f t="shared" si="70"/>
        <v>0</v>
      </c>
      <c r="AC95" s="39">
        <f t="shared" si="71"/>
        <v>0</v>
      </c>
      <c r="AD95" s="39">
        <f t="shared" si="72"/>
        <v>0</v>
      </c>
      <c r="AE95" s="39">
        <f t="shared" si="73"/>
        <v>0</v>
      </c>
      <c r="AF95" s="39">
        <f t="shared" si="74"/>
        <v>0</v>
      </c>
      <c r="AG95" s="39">
        <f t="shared" si="75"/>
        <v>0</v>
      </c>
      <c r="AH95" s="39">
        <f t="shared" si="76"/>
        <v>0</v>
      </c>
      <c r="AI95" s="30" t="s">
        <v>4</v>
      </c>
      <c r="AJ95" s="39">
        <f t="shared" si="77"/>
        <v>0</v>
      </c>
      <c r="AK95" s="39">
        <f t="shared" si="78"/>
        <v>0</v>
      </c>
      <c r="AL95" s="39">
        <f t="shared" si="79"/>
        <v>0</v>
      </c>
      <c r="AN95" s="39">
        <v>21</v>
      </c>
      <c r="AO95" s="39">
        <f>G95*0.874911901</f>
        <v>0</v>
      </c>
      <c r="AP95" s="39">
        <f>G95*(1-0.874911901)</f>
        <v>0</v>
      </c>
      <c r="AQ95" s="40" t="s">
        <v>120</v>
      </c>
      <c r="AV95" s="39">
        <f t="shared" si="80"/>
        <v>0</v>
      </c>
      <c r="AW95" s="39">
        <f t="shared" si="81"/>
        <v>0</v>
      </c>
      <c r="AX95" s="39">
        <f t="shared" si="82"/>
        <v>0</v>
      </c>
      <c r="AY95" s="40" t="s">
        <v>357</v>
      </c>
      <c r="AZ95" s="40" t="s">
        <v>358</v>
      </c>
      <c r="BA95" s="30" t="s">
        <v>123</v>
      </c>
      <c r="BC95" s="39">
        <f t="shared" si="83"/>
        <v>0</v>
      </c>
      <c r="BD95" s="39">
        <f t="shared" si="84"/>
        <v>0</v>
      </c>
      <c r="BE95" s="39">
        <v>0</v>
      </c>
      <c r="BF95" s="39">
        <f>95</f>
        <v>95</v>
      </c>
      <c r="BH95" s="39">
        <f t="shared" si="85"/>
        <v>0</v>
      </c>
      <c r="BI95" s="39">
        <f t="shared" si="86"/>
        <v>0</v>
      </c>
      <c r="BJ95" s="39">
        <f t="shared" si="87"/>
        <v>0</v>
      </c>
      <c r="BK95" s="39"/>
      <c r="BL95" s="39">
        <v>722</v>
      </c>
      <c r="BW95" s="39">
        <v>21</v>
      </c>
      <c r="BX95" s="1" t="s">
        <v>361</v>
      </c>
    </row>
    <row r="96" spans="1:76" x14ac:dyDescent="0.25">
      <c r="A96" s="58" t="s">
        <v>362</v>
      </c>
      <c r="B96" s="44" t="s">
        <v>363</v>
      </c>
      <c r="C96" s="157" t="s">
        <v>364</v>
      </c>
      <c r="D96" s="158"/>
      <c r="E96" s="44" t="s">
        <v>118</v>
      </c>
      <c r="F96" s="45">
        <v>2</v>
      </c>
      <c r="G96" s="45">
        <v>0</v>
      </c>
      <c r="H96" s="45">
        <f t="shared" si="66"/>
        <v>0</v>
      </c>
      <c r="I96" s="45">
        <f t="shared" si="67"/>
        <v>0</v>
      </c>
      <c r="J96" s="45">
        <f t="shared" si="68"/>
        <v>0</v>
      </c>
      <c r="K96" s="59" t="s">
        <v>119</v>
      </c>
      <c r="Z96" s="39">
        <f t="shared" si="69"/>
        <v>0</v>
      </c>
      <c r="AB96" s="39">
        <f t="shared" si="70"/>
        <v>0</v>
      </c>
      <c r="AC96" s="39">
        <f t="shared" si="71"/>
        <v>0</v>
      </c>
      <c r="AD96" s="39">
        <f t="shared" si="72"/>
        <v>0</v>
      </c>
      <c r="AE96" s="39">
        <f t="shared" si="73"/>
        <v>0</v>
      </c>
      <c r="AF96" s="39">
        <f t="shared" si="74"/>
        <v>0</v>
      </c>
      <c r="AG96" s="39">
        <f t="shared" si="75"/>
        <v>0</v>
      </c>
      <c r="AH96" s="39">
        <f t="shared" si="76"/>
        <v>0</v>
      </c>
      <c r="AI96" s="30" t="s">
        <v>4</v>
      </c>
      <c r="AJ96" s="39">
        <f t="shared" si="77"/>
        <v>0</v>
      </c>
      <c r="AK96" s="39">
        <f t="shared" si="78"/>
        <v>0</v>
      </c>
      <c r="AL96" s="39">
        <f t="shared" si="79"/>
        <v>0</v>
      </c>
      <c r="AN96" s="39">
        <v>21</v>
      </c>
      <c r="AO96" s="39">
        <f>G96*0.889391535</f>
        <v>0</v>
      </c>
      <c r="AP96" s="39">
        <f>G96*(1-0.889391535)</f>
        <v>0</v>
      </c>
      <c r="AQ96" s="40" t="s">
        <v>120</v>
      </c>
      <c r="AV96" s="39">
        <f t="shared" si="80"/>
        <v>0</v>
      </c>
      <c r="AW96" s="39">
        <f t="shared" si="81"/>
        <v>0</v>
      </c>
      <c r="AX96" s="39">
        <f t="shared" si="82"/>
        <v>0</v>
      </c>
      <c r="AY96" s="40" t="s">
        <v>357</v>
      </c>
      <c r="AZ96" s="40" t="s">
        <v>358</v>
      </c>
      <c r="BA96" s="30" t="s">
        <v>123</v>
      </c>
      <c r="BC96" s="39">
        <f t="shared" si="83"/>
        <v>0</v>
      </c>
      <c r="BD96" s="39">
        <f t="shared" si="84"/>
        <v>0</v>
      </c>
      <c r="BE96" s="39">
        <v>0</v>
      </c>
      <c r="BF96" s="39">
        <f>96</f>
        <v>96</v>
      </c>
      <c r="BH96" s="39">
        <f t="shared" si="85"/>
        <v>0</v>
      </c>
      <c r="BI96" s="39">
        <f t="shared" si="86"/>
        <v>0</v>
      </c>
      <c r="BJ96" s="39">
        <f t="shared" si="87"/>
        <v>0</v>
      </c>
      <c r="BK96" s="39"/>
      <c r="BL96" s="39">
        <v>722</v>
      </c>
      <c r="BW96" s="39">
        <v>21</v>
      </c>
      <c r="BX96" s="1" t="s">
        <v>364</v>
      </c>
    </row>
    <row r="97" spans="1:76" ht="25.5" x14ac:dyDescent="0.25">
      <c r="A97" s="58" t="s">
        <v>365</v>
      </c>
      <c r="B97" s="44" t="s">
        <v>366</v>
      </c>
      <c r="C97" s="157" t="s">
        <v>367</v>
      </c>
      <c r="D97" s="158"/>
      <c r="E97" s="44" t="s">
        <v>118</v>
      </c>
      <c r="F97" s="45">
        <v>1</v>
      </c>
      <c r="G97" s="45">
        <v>0</v>
      </c>
      <c r="H97" s="45">
        <f t="shared" si="66"/>
        <v>0</v>
      </c>
      <c r="I97" s="45">
        <f t="shared" si="67"/>
        <v>0</v>
      </c>
      <c r="J97" s="45">
        <f t="shared" si="68"/>
        <v>0</v>
      </c>
      <c r="K97" s="59" t="s">
        <v>119</v>
      </c>
      <c r="Z97" s="39">
        <f t="shared" si="69"/>
        <v>0</v>
      </c>
      <c r="AB97" s="39">
        <f t="shared" si="70"/>
        <v>0</v>
      </c>
      <c r="AC97" s="39">
        <f t="shared" si="71"/>
        <v>0</v>
      </c>
      <c r="AD97" s="39">
        <f t="shared" si="72"/>
        <v>0</v>
      </c>
      <c r="AE97" s="39">
        <f t="shared" si="73"/>
        <v>0</v>
      </c>
      <c r="AF97" s="39">
        <f t="shared" si="74"/>
        <v>0</v>
      </c>
      <c r="AG97" s="39">
        <f t="shared" si="75"/>
        <v>0</v>
      </c>
      <c r="AH97" s="39">
        <f t="shared" si="76"/>
        <v>0</v>
      </c>
      <c r="AI97" s="30" t="s">
        <v>4</v>
      </c>
      <c r="AJ97" s="39">
        <f t="shared" si="77"/>
        <v>0</v>
      </c>
      <c r="AK97" s="39">
        <f t="shared" si="78"/>
        <v>0</v>
      </c>
      <c r="AL97" s="39">
        <f t="shared" si="79"/>
        <v>0</v>
      </c>
      <c r="AN97" s="39">
        <v>21</v>
      </c>
      <c r="AO97" s="39">
        <f>G97*0.848826622</f>
        <v>0</v>
      </c>
      <c r="AP97" s="39">
        <f>G97*(1-0.848826622)</f>
        <v>0</v>
      </c>
      <c r="AQ97" s="40" t="s">
        <v>120</v>
      </c>
      <c r="AV97" s="39">
        <f t="shared" si="80"/>
        <v>0</v>
      </c>
      <c r="AW97" s="39">
        <f t="shared" si="81"/>
        <v>0</v>
      </c>
      <c r="AX97" s="39">
        <f t="shared" si="82"/>
        <v>0</v>
      </c>
      <c r="AY97" s="40" t="s">
        <v>357</v>
      </c>
      <c r="AZ97" s="40" t="s">
        <v>358</v>
      </c>
      <c r="BA97" s="30" t="s">
        <v>123</v>
      </c>
      <c r="BC97" s="39">
        <f t="shared" si="83"/>
        <v>0</v>
      </c>
      <c r="BD97" s="39">
        <f t="shared" si="84"/>
        <v>0</v>
      </c>
      <c r="BE97" s="39">
        <v>0</v>
      </c>
      <c r="BF97" s="39">
        <f>97</f>
        <v>97</v>
      </c>
      <c r="BH97" s="39">
        <f t="shared" si="85"/>
        <v>0</v>
      </c>
      <c r="BI97" s="39">
        <f t="shared" si="86"/>
        <v>0</v>
      </c>
      <c r="BJ97" s="39">
        <f t="shared" si="87"/>
        <v>0</v>
      </c>
      <c r="BK97" s="39"/>
      <c r="BL97" s="39">
        <v>722</v>
      </c>
      <c r="BW97" s="39">
        <v>21</v>
      </c>
      <c r="BX97" s="1" t="s">
        <v>367</v>
      </c>
    </row>
    <row r="98" spans="1:76" ht="25.5" x14ac:dyDescent="0.25">
      <c r="A98" s="58" t="s">
        <v>368</v>
      </c>
      <c r="B98" s="44" t="s">
        <v>369</v>
      </c>
      <c r="C98" s="157" t="s">
        <v>370</v>
      </c>
      <c r="D98" s="158"/>
      <c r="E98" s="44" t="s">
        <v>118</v>
      </c>
      <c r="F98" s="45">
        <v>1</v>
      </c>
      <c r="G98" s="45">
        <v>0</v>
      </c>
      <c r="H98" s="45">
        <f t="shared" si="66"/>
        <v>0</v>
      </c>
      <c r="I98" s="45">
        <f t="shared" si="67"/>
        <v>0</v>
      </c>
      <c r="J98" s="45">
        <f t="shared" si="68"/>
        <v>0</v>
      </c>
      <c r="K98" s="59" t="s">
        <v>119</v>
      </c>
      <c r="Z98" s="39">
        <f t="shared" si="69"/>
        <v>0</v>
      </c>
      <c r="AB98" s="39">
        <f t="shared" si="70"/>
        <v>0</v>
      </c>
      <c r="AC98" s="39">
        <f t="shared" si="71"/>
        <v>0</v>
      </c>
      <c r="AD98" s="39">
        <f t="shared" si="72"/>
        <v>0</v>
      </c>
      <c r="AE98" s="39">
        <f t="shared" si="73"/>
        <v>0</v>
      </c>
      <c r="AF98" s="39">
        <f t="shared" si="74"/>
        <v>0</v>
      </c>
      <c r="AG98" s="39">
        <f t="shared" si="75"/>
        <v>0</v>
      </c>
      <c r="AH98" s="39">
        <f t="shared" si="76"/>
        <v>0</v>
      </c>
      <c r="AI98" s="30" t="s">
        <v>4</v>
      </c>
      <c r="AJ98" s="39">
        <f t="shared" si="77"/>
        <v>0</v>
      </c>
      <c r="AK98" s="39">
        <f t="shared" si="78"/>
        <v>0</v>
      </c>
      <c r="AL98" s="39">
        <f t="shared" si="79"/>
        <v>0</v>
      </c>
      <c r="AN98" s="39">
        <v>21</v>
      </c>
      <c r="AO98" s="39">
        <f>G98*0.848799598</f>
        <v>0</v>
      </c>
      <c r="AP98" s="39">
        <f>G98*(1-0.848799598)</f>
        <v>0</v>
      </c>
      <c r="AQ98" s="40" t="s">
        <v>120</v>
      </c>
      <c r="AV98" s="39">
        <f t="shared" si="80"/>
        <v>0</v>
      </c>
      <c r="AW98" s="39">
        <f t="shared" si="81"/>
        <v>0</v>
      </c>
      <c r="AX98" s="39">
        <f t="shared" si="82"/>
        <v>0</v>
      </c>
      <c r="AY98" s="40" t="s">
        <v>357</v>
      </c>
      <c r="AZ98" s="40" t="s">
        <v>358</v>
      </c>
      <c r="BA98" s="30" t="s">
        <v>123</v>
      </c>
      <c r="BC98" s="39">
        <f t="shared" si="83"/>
        <v>0</v>
      </c>
      <c r="BD98" s="39">
        <f t="shared" si="84"/>
        <v>0</v>
      </c>
      <c r="BE98" s="39">
        <v>0</v>
      </c>
      <c r="BF98" s="39">
        <f>98</f>
        <v>98</v>
      </c>
      <c r="BH98" s="39">
        <f t="shared" si="85"/>
        <v>0</v>
      </c>
      <c r="BI98" s="39">
        <f t="shared" si="86"/>
        <v>0</v>
      </c>
      <c r="BJ98" s="39">
        <f t="shared" si="87"/>
        <v>0</v>
      </c>
      <c r="BK98" s="39"/>
      <c r="BL98" s="39">
        <v>722</v>
      </c>
      <c r="BW98" s="39">
        <v>21</v>
      </c>
      <c r="BX98" s="1" t="s">
        <v>370</v>
      </c>
    </row>
    <row r="99" spans="1:76" x14ac:dyDescent="0.25">
      <c r="A99" s="58" t="s">
        <v>371</v>
      </c>
      <c r="B99" s="44" t="s">
        <v>372</v>
      </c>
      <c r="C99" s="157" t="s">
        <v>373</v>
      </c>
      <c r="D99" s="158"/>
      <c r="E99" s="44" t="s">
        <v>118</v>
      </c>
      <c r="F99" s="45">
        <v>1</v>
      </c>
      <c r="G99" s="45">
        <v>0</v>
      </c>
      <c r="H99" s="45">
        <f t="shared" si="66"/>
        <v>0</v>
      </c>
      <c r="I99" s="45">
        <f t="shared" si="67"/>
        <v>0</v>
      </c>
      <c r="J99" s="45">
        <f t="shared" si="68"/>
        <v>0</v>
      </c>
      <c r="K99" s="59" t="s">
        <v>119</v>
      </c>
      <c r="Z99" s="39">
        <f t="shared" si="69"/>
        <v>0</v>
      </c>
      <c r="AB99" s="39">
        <f t="shared" si="70"/>
        <v>0</v>
      </c>
      <c r="AC99" s="39">
        <f t="shared" si="71"/>
        <v>0</v>
      </c>
      <c r="AD99" s="39">
        <f t="shared" si="72"/>
        <v>0</v>
      </c>
      <c r="AE99" s="39">
        <f t="shared" si="73"/>
        <v>0</v>
      </c>
      <c r="AF99" s="39">
        <f t="shared" si="74"/>
        <v>0</v>
      </c>
      <c r="AG99" s="39">
        <f t="shared" si="75"/>
        <v>0</v>
      </c>
      <c r="AH99" s="39">
        <f t="shared" si="76"/>
        <v>0</v>
      </c>
      <c r="AI99" s="30" t="s">
        <v>4</v>
      </c>
      <c r="AJ99" s="39">
        <f t="shared" si="77"/>
        <v>0</v>
      </c>
      <c r="AK99" s="39">
        <f t="shared" si="78"/>
        <v>0</v>
      </c>
      <c r="AL99" s="39">
        <f t="shared" si="79"/>
        <v>0</v>
      </c>
      <c r="AN99" s="39">
        <v>21</v>
      </c>
      <c r="AO99" s="39">
        <f>G99*0.846815476</f>
        <v>0</v>
      </c>
      <c r="AP99" s="39">
        <f>G99*(1-0.846815476)</f>
        <v>0</v>
      </c>
      <c r="AQ99" s="40" t="s">
        <v>120</v>
      </c>
      <c r="AV99" s="39">
        <f t="shared" si="80"/>
        <v>0</v>
      </c>
      <c r="AW99" s="39">
        <f t="shared" si="81"/>
        <v>0</v>
      </c>
      <c r="AX99" s="39">
        <f t="shared" si="82"/>
        <v>0</v>
      </c>
      <c r="AY99" s="40" t="s">
        <v>357</v>
      </c>
      <c r="AZ99" s="40" t="s">
        <v>358</v>
      </c>
      <c r="BA99" s="30" t="s">
        <v>123</v>
      </c>
      <c r="BC99" s="39">
        <f t="shared" si="83"/>
        <v>0</v>
      </c>
      <c r="BD99" s="39">
        <f t="shared" si="84"/>
        <v>0</v>
      </c>
      <c r="BE99" s="39">
        <v>0</v>
      </c>
      <c r="BF99" s="39">
        <f>99</f>
        <v>99</v>
      </c>
      <c r="BH99" s="39">
        <f t="shared" si="85"/>
        <v>0</v>
      </c>
      <c r="BI99" s="39">
        <f t="shared" si="86"/>
        <v>0</v>
      </c>
      <c r="BJ99" s="39">
        <f t="shared" si="87"/>
        <v>0</v>
      </c>
      <c r="BK99" s="39"/>
      <c r="BL99" s="39">
        <v>722</v>
      </c>
      <c r="BW99" s="39">
        <v>21</v>
      </c>
      <c r="BX99" s="1" t="s">
        <v>373</v>
      </c>
    </row>
    <row r="100" spans="1:76" x14ac:dyDescent="0.25">
      <c r="A100" s="58" t="s">
        <v>374</v>
      </c>
      <c r="B100" s="44" t="s">
        <v>375</v>
      </c>
      <c r="C100" s="157" t="s">
        <v>376</v>
      </c>
      <c r="D100" s="158"/>
      <c r="E100" s="44" t="s">
        <v>118</v>
      </c>
      <c r="F100" s="45">
        <v>1</v>
      </c>
      <c r="G100" s="45">
        <v>0</v>
      </c>
      <c r="H100" s="45">
        <f t="shared" si="66"/>
        <v>0</v>
      </c>
      <c r="I100" s="45">
        <f t="shared" si="67"/>
        <v>0</v>
      </c>
      <c r="J100" s="45">
        <f t="shared" si="68"/>
        <v>0</v>
      </c>
      <c r="K100" s="59" t="s">
        <v>119</v>
      </c>
      <c r="Z100" s="39">
        <f t="shared" si="69"/>
        <v>0</v>
      </c>
      <c r="AB100" s="39">
        <f t="shared" si="70"/>
        <v>0</v>
      </c>
      <c r="AC100" s="39">
        <f t="shared" si="71"/>
        <v>0</v>
      </c>
      <c r="AD100" s="39">
        <f t="shared" si="72"/>
        <v>0</v>
      </c>
      <c r="AE100" s="39">
        <f t="shared" si="73"/>
        <v>0</v>
      </c>
      <c r="AF100" s="39">
        <f t="shared" si="74"/>
        <v>0</v>
      </c>
      <c r="AG100" s="39">
        <f t="shared" si="75"/>
        <v>0</v>
      </c>
      <c r="AH100" s="39">
        <f t="shared" si="76"/>
        <v>0</v>
      </c>
      <c r="AI100" s="30" t="s">
        <v>4</v>
      </c>
      <c r="AJ100" s="39">
        <f t="shared" si="77"/>
        <v>0</v>
      </c>
      <c r="AK100" s="39">
        <f t="shared" si="78"/>
        <v>0</v>
      </c>
      <c r="AL100" s="39">
        <f t="shared" si="79"/>
        <v>0</v>
      </c>
      <c r="AN100" s="39">
        <v>21</v>
      </c>
      <c r="AO100" s="39">
        <f>G100*0.904191176</f>
        <v>0</v>
      </c>
      <c r="AP100" s="39">
        <f>G100*(1-0.904191176)</f>
        <v>0</v>
      </c>
      <c r="AQ100" s="40" t="s">
        <v>120</v>
      </c>
      <c r="AV100" s="39">
        <f t="shared" si="80"/>
        <v>0</v>
      </c>
      <c r="AW100" s="39">
        <f t="shared" si="81"/>
        <v>0</v>
      </c>
      <c r="AX100" s="39">
        <f t="shared" si="82"/>
        <v>0</v>
      </c>
      <c r="AY100" s="40" t="s">
        <v>357</v>
      </c>
      <c r="AZ100" s="40" t="s">
        <v>358</v>
      </c>
      <c r="BA100" s="30" t="s">
        <v>123</v>
      </c>
      <c r="BC100" s="39">
        <f t="shared" si="83"/>
        <v>0</v>
      </c>
      <c r="BD100" s="39">
        <f t="shared" si="84"/>
        <v>0</v>
      </c>
      <c r="BE100" s="39">
        <v>0</v>
      </c>
      <c r="BF100" s="39">
        <f>100</f>
        <v>100</v>
      </c>
      <c r="BH100" s="39">
        <f t="shared" si="85"/>
        <v>0</v>
      </c>
      <c r="BI100" s="39">
        <f t="shared" si="86"/>
        <v>0</v>
      </c>
      <c r="BJ100" s="39">
        <f t="shared" si="87"/>
        <v>0</v>
      </c>
      <c r="BK100" s="39"/>
      <c r="BL100" s="39">
        <v>722</v>
      </c>
      <c r="BW100" s="39">
        <v>21</v>
      </c>
      <c r="BX100" s="1" t="s">
        <v>376</v>
      </c>
    </row>
    <row r="101" spans="1:76" x14ac:dyDescent="0.25">
      <c r="A101" s="62" t="s">
        <v>377</v>
      </c>
      <c r="B101" s="49" t="s">
        <v>321</v>
      </c>
      <c r="C101" s="159" t="s">
        <v>378</v>
      </c>
      <c r="D101" s="160"/>
      <c r="E101" s="49" t="s">
        <v>136</v>
      </c>
      <c r="F101" s="50">
        <v>1</v>
      </c>
      <c r="G101" s="50">
        <v>0</v>
      </c>
      <c r="H101" s="50">
        <f t="shared" si="66"/>
        <v>0</v>
      </c>
      <c r="I101" s="50">
        <f t="shared" si="67"/>
        <v>0</v>
      </c>
      <c r="J101" s="50">
        <f t="shared" si="68"/>
        <v>0</v>
      </c>
      <c r="K101" s="63" t="s">
        <v>119</v>
      </c>
      <c r="Z101" s="39">
        <f t="shared" si="69"/>
        <v>0</v>
      </c>
      <c r="AB101" s="39">
        <f t="shared" si="70"/>
        <v>0</v>
      </c>
      <c r="AC101" s="39">
        <f t="shared" si="71"/>
        <v>0</v>
      </c>
      <c r="AD101" s="39">
        <f t="shared" si="72"/>
        <v>0</v>
      </c>
      <c r="AE101" s="39">
        <f t="shared" si="73"/>
        <v>0</v>
      </c>
      <c r="AF101" s="39">
        <f t="shared" si="74"/>
        <v>0</v>
      </c>
      <c r="AG101" s="39">
        <f t="shared" si="75"/>
        <v>0</v>
      </c>
      <c r="AH101" s="39">
        <f t="shared" si="76"/>
        <v>0</v>
      </c>
      <c r="AI101" s="30" t="s">
        <v>4</v>
      </c>
      <c r="AJ101" s="39">
        <f t="shared" si="77"/>
        <v>0</v>
      </c>
      <c r="AK101" s="39">
        <f t="shared" si="78"/>
        <v>0</v>
      </c>
      <c r="AL101" s="39">
        <f t="shared" si="79"/>
        <v>0</v>
      </c>
      <c r="AN101" s="39">
        <v>21</v>
      </c>
      <c r="AO101" s="39">
        <f>G101*0.690954428</f>
        <v>0</v>
      </c>
      <c r="AP101" s="39">
        <f>G101*(1-0.690954428)</f>
        <v>0</v>
      </c>
      <c r="AQ101" s="40" t="s">
        <v>120</v>
      </c>
      <c r="AV101" s="39">
        <f t="shared" si="80"/>
        <v>0</v>
      </c>
      <c r="AW101" s="39">
        <f t="shared" si="81"/>
        <v>0</v>
      </c>
      <c r="AX101" s="39">
        <f t="shared" si="82"/>
        <v>0</v>
      </c>
      <c r="AY101" s="40" t="s">
        <v>357</v>
      </c>
      <c r="AZ101" s="40" t="s">
        <v>358</v>
      </c>
      <c r="BA101" s="30" t="s">
        <v>123</v>
      </c>
      <c r="BC101" s="39">
        <f t="shared" si="83"/>
        <v>0</v>
      </c>
      <c r="BD101" s="39">
        <f t="shared" si="84"/>
        <v>0</v>
      </c>
      <c r="BE101" s="39">
        <v>0</v>
      </c>
      <c r="BF101" s="39">
        <f>101</f>
        <v>101</v>
      </c>
      <c r="BH101" s="39">
        <f t="shared" si="85"/>
        <v>0</v>
      </c>
      <c r="BI101" s="39">
        <f t="shared" si="86"/>
        <v>0</v>
      </c>
      <c r="BJ101" s="39">
        <f t="shared" si="87"/>
        <v>0</v>
      </c>
      <c r="BK101" s="39"/>
      <c r="BL101" s="39">
        <v>722</v>
      </c>
      <c r="BW101" s="39">
        <v>21</v>
      </c>
      <c r="BX101" s="1" t="s">
        <v>378</v>
      </c>
    </row>
    <row r="102" spans="1:76" x14ac:dyDescent="0.25">
      <c r="A102" s="62" t="s">
        <v>379</v>
      </c>
      <c r="B102" s="49" t="s">
        <v>321</v>
      </c>
      <c r="C102" s="159" t="s">
        <v>380</v>
      </c>
      <c r="D102" s="160"/>
      <c r="E102" s="49" t="s">
        <v>136</v>
      </c>
      <c r="F102" s="50">
        <v>2</v>
      </c>
      <c r="G102" s="50">
        <v>0</v>
      </c>
      <c r="H102" s="50">
        <f t="shared" si="66"/>
        <v>0</v>
      </c>
      <c r="I102" s="50">
        <f t="shared" si="67"/>
        <v>0</v>
      </c>
      <c r="J102" s="50">
        <f t="shared" si="68"/>
        <v>0</v>
      </c>
      <c r="K102" s="63" t="s">
        <v>119</v>
      </c>
      <c r="Z102" s="39">
        <f t="shared" si="69"/>
        <v>0</v>
      </c>
      <c r="AB102" s="39">
        <f t="shared" si="70"/>
        <v>0</v>
      </c>
      <c r="AC102" s="39">
        <f t="shared" si="71"/>
        <v>0</v>
      </c>
      <c r="AD102" s="39">
        <f t="shared" si="72"/>
        <v>0</v>
      </c>
      <c r="AE102" s="39">
        <f t="shared" si="73"/>
        <v>0</v>
      </c>
      <c r="AF102" s="39">
        <f t="shared" si="74"/>
        <v>0</v>
      </c>
      <c r="AG102" s="39">
        <f t="shared" si="75"/>
        <v>0</v>
      </c>
      <c r="AH102" s="39">
        <f t="shared" si="76"/>
        <v>0</v>
      </c>
      <c r="AI102" s="30" t="s">
        <v>4</v>
      </c>
      <c r="AJ102" s="39">
        <f t="shared" si="77"/>
        <v>0</v>
      </c>
      <c r="AK102" s="39">
        <f t="shared" si="78"/>
        <v>0</v>
      </c>
      <c r="AL102" s="39">
        <f t="shared" si="79"/>
        <v>0</v>
      </c>
      <c r="AN102" s="39">
        <v>21</v>
      </c>
      <c r="AO102" s="39">
        <f>G102*0.690954733</f>
        <v>0</v>
      </c>
      <c r="AP102" s="39">
        <f>G102*(1-0.690954733)</f>
        <v>0</v>
      </c>
      <c r="AQ102" s="40" t="s">
        <v>120</v>
      </c>
      <c r="AV102" s="39">
        <f t="shared" si="80"/>
        <v>0</v>
      </c>
      <c r="AW102" s="39">
        <f t="shared" si="81"/>
        <v>0</v>
      </c>
      <c r="AX102" s="39">
        <f t="shared" si="82"/>
        <v>0</v>
      </c>
      <c r="AY102" s="40" t="s">
        <v>357</v>
      </c>
      <c r="AZ102" s="40" t="s">
        <v>358</v>
      </c>
      <c r="BA102" s="30" t="s">
        <v>123</v>
      </c>
      <c r="BC102" s="39">
        <f t="shared" si="83"/>
        <v>0</v>
      </c>
      <c r="BD102" s="39">
        <f t="shared" si="84"/>
        <v>0</v>
      </c>
      <c r="BE102" s="39">
        <v>0</v>
      </c>
      <c r="BF102" s="39">
        <f>102</f>
        <v>102</v>
      </c>
      <c r="BH102" s="39">
        <f t="shared" si="85"/>
        <v>0</v>
      </c>
      <c r="BI102" s="39">
        <f t="shared" si="86"/>
        <v>0</v>
      </c>
      <c r="BJ102" s="39">
        <f t="shared" si="87"/>
        <v>0</v>
      </c>
      <c r="BK102" s="39"/>
      <c r="BL102" s="39">
        <v>722</v>
      </c>
      <c r="BW102" s="39">
        <v>21</v>
      </c>
      <c r="BX102" s="1" t="s">
        <v>380</v>
      </c>
    </row>
    <row r="103" spans="1:76" x14ac:dyDescent="0.25">
      <c r="A103" s="62" t="s">
        <v>381</v>
      </c>
      <c r="B103" s="49" t="s">
        <v>382</v>
      </c>
      <c r="C103" s="159" t="s">
        <v>383</v>
      </c>
      <c r="D103" s="160"/>
      <c r="E103" s="49" t="s">
        <v>118</v>
      </c>
      <c r="F103" s="50">
        <v>2</v>
      </c>
      <c r="G103" s="50">
        <v>0</v>
      </c>
      <c r="H103" s="50">
        <f t="shared" si="66"/>
        <v>0</v>
      </c>
      <c r="I103" s="50">
        <f t="shared" si="67"/>
        <v>0</v>
      </c>
      <c r="J103" s="50">
        <f t="shared" si="68"/>
        <v>0</v>
      </c>
      <c r="K103" s="63" t="s">
        <v>119</v>
      </c>
      <c r="Z103" s="39">
        <f t="shared" si="69"/>
        <v>0</v>
      </c>
      <c r="AB103" s="39">
        <f t="shared" si="70"/>
        <v>0</v>
      </c>
      <c r="AC103" s="39">
        <f t="shared" si="71"/>
        <v>0</v>
      </c>
      <c r="AD103" s="39">
        <f t="shared" si="72"/>
        <v>0</v>
      </c>
      <c r="AE103" s="39">
        <f t="shared" si="73"/>
        <v>0</v>
      </c>
      <c r="AF103" s="39">
        <f t="shared" si="74"/>
        <v>0</v>
      </c>
      <c r="AG103" s="39">
        <f t="shared" si="75"/>
        <v>0</v>
      </c>
      <c r="AH103" s="39">
        <f t="shared" si="76"/>
        <v>0</v>
      </c>
      <c r="AI103" s="30" t="s">
        <v>4</v>
      </c>
      <c r="AJ103" s="39">
        <f t="shared" si="77"/>
        <v>0</v>
      </c>
      <c r="AK103" s="39">
        <f t="shared" si="78"/>
        <v>0</v>
      </c>
      <c r="AL103" s="39">
        <f t="shared" si="79"/>
        <v>0</v>
      </c>
      <c r="AN103" s="39">
        <v>21</v>
      </c>
      <c r="AO103" s="39">
        <f>G103*0</f>
        <v>0</v>
      </c>
      <c r="AP103" s="39">
        <f>G103*(1-0)</f>
        <v>0</v>
      </c>
      <c r="AQ103" s="40" t="s">
        <v>124</v>
      </c>
      <c r="AV103" s="39">
        <f t="shared" si="80"/>
        <v>0</v>
      </c>
      <c r="AW103" s="39">
        <f t="shared" si="81"/>
        <v>0</v>
      </c>
      <c r="AX103" s="39">
        <f t="shared" si="82"/>
        <v>0</v>
      </c>
      <c r="AY103" s="40" t="s">
        <v>357</v>
      </c>
      <c r="AZ103" s="40" t="s">
        <v>358</v>
      </c>
      <c r="BA103" s="30" t="s">
        <v>123</v>
      </c>
      <c r="BC103" s="39">
        <f t="shared" si="83"/>
        <v>0</v>
      </c>
      <c r="BD103" s="39">
        <f t="shared" si="84"/>
        <v>0</v>
      </c>
      <c r="BE103" s="39">
        <v>0</v>
      </c>
      <c r="BF103" s="39">
        <f>103</f>
        <v>103</v>
      </c>
      <c r="BH103" s="39">
        <f t="shared" si="85"/>
        <v>0</v>
      </c>
      <c r="BI103" s="39">
        <f t="shared" si="86"/>
        <v>0</v>
      </c>
      <c r="BJ103" s="39">
        <f t="shared" si="87"/>
        <v>0</v>
      </c>
      <c r="BK103" s="39"/>
      <c r="BL103" s="39">
        <v>722</v>
      </c>
      <c r="BW103" s="39">
        <v>21</v>
      </c>
      <c r="BX103" s="1" t="s">
        <v>383</v>
      </c>
    </row>
    <row r="104" spans="1:76" x14ac:dyDescent="0.25">
      <c r="A104" s="62" t="s">
        <v>384</v>
      </c>
      <c r="B104" s="49" t="s">
        <v>385</v>
      </c>
      <c r="C104" s="159" t="s">
        <v>386</v>
      </c>
      <c r="D104" s="160"/>
      <c r="E104" s="49" t="s">
        <v>118</v>
      </c>
      <c r="F104" s="50">
        <v>1</v>
      </c>
      <c r="G104" s="50">
        <v>0</v>
      </c>
      <c r="H104" s="50">
        <f t="shared" si="66"/>
        <v>0</v>
      </c>
      <c r="I104" s="50">
        <f t="shared" si="67"/>
        <v>0</v>
      </c>
      <c r="J104" s="50">
        <f t="shared" si="68"/>
        <v>0</v>
      </c>
      <c r="K104" s="63" t="s">
        <v>119</v>
      </c>
      <c r="Z104" s="39">
        <f t="shared" si="69"/>
        <v>0</v>
      </c>
      <c r="AB104" s="39">
        <f t="shared" si="70"/>
        <v>0</v>
      </c>
      <c r="AC104" s="39">
        <f t="shared" si="71"/>
        <v>0</v>
      </c>
      <c r="AD104" s="39">
        <f t="shared" si="72"/>
        <v>0</v>
      </c>
      <c r="AE104" s="39">
        <f t="shared" si="73"/>
        <v>0</v>
      </c>
      <c r="AF104" s="39">
        <f t="shared" si="74"/>
        <v>0</v>
      </c>
      <c r="AG104" s="39">
        <f t="shared" si="75"/>
        <v>0</v>
      </c>
      <c r="AH104" s="39">
        <f t="shared" si="76"/>
        <v>0</v>
      </c>
      <c r="AI104" s="30" t="s">
        <v>4</v>
      </c>
      <c r="AJ104" s="39">
        <f t="shared" si="77"/>
        <v>0</v>
      </c>
      <c r="AK104" s="39">
        <f t="shared" si="78"/>
        <v>0</v>
      </c>
      <c r="AL104" s="39">
        <f t="shared" si="79"/>
        <v>0</v>
      </c>
      <c r="AN104" s="39">
        <v>21</v>
      </c>
      <c r="AO104" s="39">
        <f>G104*0</f>
        <v>0</v>
      </c>
      <c r="AP104" s="39">
        <f>G104*(1-0)</f>
        <v>0</v>
      </c>
      <c r="AQ104" s="40" t="s">
        <v>124</v>
      </c>
      <c r="AV104" s="39">
        <f t="shared" si="80"/>
        <v>0</v>
      </c>
      <c r="AW104" s="39">
        <f t="shared" si="81"/>
        <v>0</v>
      </c>
      <c r="AX104" s="39">
        <f t="shared" si="82"/>
        <v>0</v>
      </c>
      <c r="AY104" s="40" t="s">
        <v>357</v>
      </c>
      <c r="AZ104" s="40" t="s">
        <v>358</v>
      </c>
      <c r="BA104" s="30" t="s">
        <v>123</v>
      </c>
      <c r="BC104" s="39">
        <f t="shared" si="83"/>
        <v>0</v>
      </c>
      <c r="BD104" s="39">
        <f t="shared" si="84"/>
        <v>0</v>
      </c>
      <c r="BE104" s="39">
        <v>0</v>
      </c>
      <c r="BF104" s="39">
        <f>104</f>
        <v>104</v>
      </c>
      <c r="BH104" s="39">
        <f t="shared" si="85"/>
        <v>0</v>
      </c>
      <c r="BI104" s="39">
        <f t="shared" si="86"/>
        <v>0</v>
      </c>
      <c r="BJ104" s="39">
        <f t="shared" si="87"/>
        <v>0</v>
      </c>
      <c r="BK104" s="39"/>
      <c r="BL104" s="39">
        <v>722</v>
      </c>
      <c r="BW104" s="39">
        <v>21</v>
      </c>
      <c r="BX104" s="1" t="s">
        <v>386</v>
      </c>
    </row>
    <row r="105" spans="1:76" x14ac:dyDescent="0.25">
      <c r="A105" s="58" t="s">
        <v>387</v>
      </c>
      <c r="B105" s="44" t="s">
        <v>388</v>
      </c>
      <c r="C105" s="157" t="s">
        <v>389</v>
      </c>
      <c r="D105" s="158"/>
      <c r="E105" s="44" t="s">
        <v>118</v>
      </c>
      <c r="F105" s="45">
        <v>2</v>
      </c>
      <c r="G105" s="45">
        <v>0</v>
      </c>
      <c r="H105" s="45">
        <f t="shared" si="66"/>
        <v>0</v>
      </c>
      <c r="I105" s="45">
        <f t="shared" si="67"/>
        <v>0</v>
      </c>
      <c r="J105" s="45">
        <f t="shared" si="68"/>
        <v>0</v>
      </c>
      <c r="K105" s="59" t="s">
        <v>119</v>
      </c>
      <c r="Z105" s="39">
        <f t="shared" si="69"/>
        <v>0</v>
      </c>
      <c r="AB105" s="39">
        <f t="shared" si="70"/>
        <v>0</v>
      </c>
      <c r="AC105" s="39">
        <f t="shared" si="71"/>
        <v>0</v>
      </c>
      <c r="AD105" s="39">
        <f t="shared" si="72"/>
        <v>0</v>
      </c>
      <c r="AE105" s="39">
        <f t="shared" si="73"/>
        <v>0</v>
      </c>
      <c r="AF105" s="39">
        <f t="shared" si="74"/>
        <v>0</v>
      </c>
      <c r="AG105" s="39">
        <f t="shared" si="75"/>
        <v>0</v>
      </c>
      <c r="AH105" s="39">
        <f t="shared" si="76"/>
        <v>0</v>
      </c>
      <c r="AI105" s="30" t="s">
        <v>4</v>
      </c>
      <c r="AJ105" s="39">
        <f t="shared" si="77"/>
        <v>0</v>
      </c>
      <c r="AK105" s="39">
        <f t="shared" si="78"/>
        <v>0</v>
      </c>
      <c r="AL105" s="39">
        <f t="shared" si="79"/>
        <v>0</v>
      </c>
      <c r="AN105" s="39">
        <v>21</v>
      </c>
      <c r="AO105" s="39">
        <f>G105*0.357220077</f>
        <v>0</v>
      </c>
      <c r="AP105" s="39">
        <f>G105*(1-0.357220077)</f>
        <v>0</v>
      </c>
      <c r="AQ105" s="40" t="s">
        <v>120</v>
      </c>
      <c r="AV105" s="39">
        <f t="shared" si="80"/>
        <v>0</v>
      </c>
      <c r="AW105" s="39">
        <f t="shared" si="81"/>
        <v>0</v>
      </c>
      <c r="AX105" s="39">
        <f t="shared" si="82"/>
        <v>0</v>
      </c>
      <c r="AY105" s="40" t="s">
        <v>357</v>
      </c>
      <c r="AZ105" s="40" t="s">
        <v>358</v>
      </c>
      <c r="BA105" s="30" t="s">
        <v>123</v>
      </c>
      <c r="BC105" s="39">
        <f t="shared" si="83"/>
        <v>0</v>
      </c>
      <c r="BD105" s="39">
        <f t="shared" si="84"/>
        <v>0</v>
      </c>
      <c r="BE105" s="39">
        <v>0</v>
      </c>
      <c r="BF105" s="39">
        <f>105</f>
        <v>105</v>
      </c>
      <c r="BH105" s="39">
        <f t="shared" si="85"/>
        <v>0</v>
      </c>
      <c r="BI105" s="39">
        <f t="shared" si="86"/>
        <v>0</v>
      </c>
      <c r="BJ105" s="39">
        <f t="shared" si="87"/>
        <v>0</v>
      </c>
      <c r="BK105" s="39"/>
      <c r="BL105" s="39">
        <v>722</v>
      </c>
      <c r="BW105" s="39">
        <v>21</v>
      </c>
      <c r="BX105" s="1" t="s">
        <v>389</v>
      </c>
    </row>
    <row r="106" spans="1:76" x14ac:dyDescent="0.25">
      <c r="A106" s="58" t="s">
        <v>390</v>
      </c>
      <c r="B106" s="44" t="s">
        <v>391</v>
      </c>
      <c r="C106" s="157" t="s">
        <v>392</v>
      </c>
      <c r="D106" s="158"/>
      <c r="E106" s="44" t="s">
        <v>118</v>
      </c>
      <c r="F106" s="45">
        <v>1</v>
      </c>
      <c r="G106" s="45">
        <v>0</v>
      </c>
      <c r="H106" s="45">
        <f t="shared" si="66"/>
        <v>0</v>
      </c>
      <c r="I106" s="45">
        <f t="shared" si="67"/>
        <v>0</v>
      </c>
      <c r="J106" s="45">
        <f t="shared" si="68"/>
        <v>0</v>
      </c>
      <c r="K106" s="59" t="s">
        <v>119</v>
      </c>
      <c r="Z106" s="39">
        <f t="shared" si="69"/>
        <v>0</v>
      </c>
      <c r="AB106" s="39">
        <f t="shared" si="70"/>
        <v>0</v>
      </c>
      <c r="AC106" s="39">
        <f t="shared" si="71"/>
        <v>0</v>
      </c>
      <c r="AD106" s="39">
        <f t="shared" si="72"/>
        <v>0</v>
      </c>
      <c r="AE106" s="39">
        <f t="shared" si="73"/>
        <v>0</v>
      </c>
      <c r="AF106" s="39">
        <f t="shared" si="74"/>
        <v>0</v>
      </c>
      <c r="AG106" s="39">
        <f t="shared" si="75"/>
        <v>0</v>
      </c>
      <c r="AH106" s="39">
        <f t="shared" si="76"/>
        <v>0</v>
      </c>
      <c r="AI106" s="30" t="s">
        <v>4</v>
      </c>
      <c r="AJ106" s="39">
        <f t="shared" si="77"/>
        <v>0</v>
      </c>
      <c r="AK106" s="39">
        <f t="shared" si="78"/>
        <v>0</v>
      </c>
      <c r="AL106" s="39">
        <f t="shared" si="79"/>
        <v>0</v>
      </c>
      <c r="AN106" s="39">
        <v>21</v>
      </c>
      <c r="AO106" s="39">
        <f>G106*0.052197071</f>
        <v>0</v>
      </c>
      <c r="AP106" s="39">
        <f>G106*(1-0.052197071)</f>
        <v>0</v>
      </c>
      <c r="AQ106" s="40" t="s">
        <v>120</v>
      </c>
      <c r="AV106" s="39">
        <f t="shared" si="80"/>
        <v>0</v>
      </c>
      <c r="AW106" s="39">
        <f t="shared" si="81"/>
        <v>0</v>
      </c>
      <c r="AX106" s="39">
        <f t="shared" si="82"/>
        <v>0</v>
      </c>
      <c r="AY106" s="40" t="s">
        <v>357</v>
      </c>
      <c r="AZ106" s="40" t="s">
        <v>358</v>
      </c>
      <c r="BA106" s="30" t="s">
        <v>123</v>
      </c>
      <c r="BC106" s="39">
        <f t="shared" si="83"/>
        <v>0</v>
      </c>
      <c r="BD106" s="39">
        <f t="shared" si="84"/>
        <v>0</v>
      </c>
      <c r="BE106" s="39">
        <v>0</v>
      </c>
      <c r="BF106" s="39">
        <f>106</f>
        <v>106</v>
      </c>
      <c r="BH106" s="39">
        <f t="shared" si="85"/>
        <v>0</v>
      </c>
      <c r="BI106" s="39">
        <f t="shared" si="86"/>
        <v>0</v>
      </c>
      <c r="BJ106" s="39">
        <f t="shared" si="87"/>
        <v>0</v>
      </c>
      <c r="BK106" s="39"/>
      <c r="BL106" s="39">
        <v>722</v>
      </c>
      <c r="BW106" s="39">
        <v>21</v>
      </c>
      <c r="BX106" s="1" t="s">
        <v>392</v>
      </c>
    </row>
    <row r="107" spans="1:76" x14ac:dyDescent="0.25">
      <c r="A107" s="58" t="s">
        <v>393</v>
      </c>
      <c r="B107" s="44" t="s">
        <v>394</v>
      </c>
      <c r="C107" s="157" t="s">
        <v>395</v>
      </c>
      <c r="D107" s="158"/>
      <c r="E107" s="44" t="s">
        <v>118</v>
      </c>
      <c r="F107" s="45">
        <v>3</v>
      </c>
      <c r="G107" s="45">
        <v>0</v>
      </c>
      <c r="H107" s="45">
        <f t="shared" si="66"/>
        <v>0</v>
      </c>
      <c r="I107" s="45">
        <f t="shared" si="67"/>
        <v>0</v>
      </c>
      <c r="J107" s="45">
        <f t="shared" si="68"/>
        <v>0</v>
      </c>
      <c r="K107" s="59" t="s">
        <v>119</v>
      </c>
      <c r="Z107" s="39">
        <f t="shared" si="69"/>
        <v>0</v>
      </c>
      <c r="AB107" s="39">
        <f t="shared" si="70"/>
        <v>0</v>
      </c>
      <c r="AC107" s="39">
        <f t="shared" si="71"/>
        <v>0</v>
      </c>
      <c r="AD107" s="39">
        <f t="shared" si="72"/>
        <v>0</v>
      </c>
      <c r="AE107" s="39">
        <f t="shared" si="73"/>
        <v>0</v>
      </c>
      <c r="AF107" s="39">
        <f t="shared" si="74"/>
        <v>0</v>
      </c>
      <c r="AG107" s="39">
        <f t="shared" si="75"/>
        <v>0</v>
      </c>
      <c r="AH107" s="39">
        <f t="shared" si="76"/>
        <v>0</v>
      </c>
      <c r="AI107" s="30" t="s">
        <v>4</v>
      </c>
      <c r="AJ107" s="39">
        <f t="shared" si="77"/>
        <v>0</v>
      </c>
      <c r="AK107" s="39">
        <f t="shared" si="78"/>
        <v>0</v>
      </c>
      <c r="AL107" s="39">
        <f t="shared" si="79"/>
        <v>0</v>
      </c>
      <c r="AN107" s="39">
        <v>21</v>
      </c>
      <c r="AO107" s="39">
        <f>G107*0.066388889</f>
        <v>0</v>
      </c>
      <c r="AP107" s="39">
        <f>G107*(1-0.066388889)</f>
        <v>0</v>
      </c>
      <c r="AQ107" s="40" t="s">
        <v>120</v>
      </c>
      <c r="AV107" s="39">
        <f t="shared" si="80"/>
        <v>0</v>
      </c>
      <c r="AW107" s="39">
        <f t="shared" si="81"/>
        <v>0</v>
      </c>
      <c r="AX107" s="39">
        <f t="shared" si="82"/>
        <v>0</v>
      </c>
      <c r="AY107" s="40" t="s">
        <v>357</v>
      </c>
      <c r="AZ107" s="40" t="s">
        <v>358</v>
      </c>
      <c r="BA107" s="30" t="s">
        <v>123</v>
      </c>
      <c r="BC107" s="39">
        <f t="shared" si="83"/>
        <v>0</v>
      </c>
      <c r="BD107" s="39">
        <f t="shared" si="84"/>
        <v>0</v>
      </c>
      <c r="BE107" s="39">
        <v>0</v>
      </c>
      <c r="BF107" s="39">
        <f>107</f>
        <v>107</v>
      </c>
      <c r="BH107" s="39">
        <f t="shared" si="85"/>
        <v>0</v>
      </c>
      <c r="BI107" s="39">
        <f t="shared" si="86"/>
        <v>0</v>
      </c>
      <c r="BJ107" s="39">
        <f t="shared" si="87"/>
        <v>0</v>
      </c>
      <c r="BK107" s="39"/>
      <c r="BL107" s="39">
        <v>722</v>
      </c>
      <c r="BW107" s="39">
        <v>21</v>
      </c>
      <c r="BX107" s="1" t="s">
        <v>395</v>
      </c>
    </row>
    <row r="108" spans="1:76" x14ac:dyDescent="0.25">
      <c r="A108" s="58" t="s">
        <v>396</v>
      </c>
      <c r="B108" s="44" t="s">
        <v>397</v>
      </c>
      <c r="C108" s="157" t="s">
        <v>398</v>
      </c>
      <c r="D108" s="158"/>
      <c r="E108" s="44" t="s">
        <v>118</v>
      </c>
      <c r="F108" s="45">
        <v>4</v>
      </c>
      <c r="G108" s="45">
        <v>0</v>
      </c>
      <c r="H108" s="45">
        <f t="shared" si="66"/>
        <v>0</v>
      </c>
      <c r="I108" s="45">
        <f t="shared" si="67"/>
        <v>0</v>
      </c>
      <c r="J108" s="45">
        <f t="shared" si="68"/>
        <v>0</v>
      </c>
      <c r="K108" s="59" t="s">
        <v>119</v>
      </c>
      <c r="Z108" s="39">
        <f t="shared" si="69"/>
        <v>0</v>
      </c>
      <c r="AB108" s="39">
        <f t="shared" si="70"/>
        <v>0</v>
      </c>
      <c r="AC108" s="39">
        <f t="shared" si="71"/>
        <v>0</v>
      </c>
      <c r="AD108" s="39">
        <f t="shared" si="72"/>
        <v>0</v>
      </c>
      <c r="AE108" s="39">
        <f t="shared" si="73"/>
        <v>0</v>
      </c>
      <c r="AF108" s="39">
        <f t="shared" si="74"/>
        <v>0</v>
      </c>
      <c r="AG108" s="39">
        <f t="shared" si="75"/>
        <v>0</v>
      </c>
      <c r="AH108" s="39">
        <f t="shared" si="76"/>
        <v>0</v>
      </c>
      <c r="AI108" s="30" t="s">
        <v>4</v>
      </c>
      <c r="AJ108" s="39">
        <f t="shared" si="77"/>
        <v>0</v>
      </c>
      <c r="AK108" s="39">
        <f t="shared" si="78"/>
        <v>0</v>
      </c>
      <c r="AL108" s="39">
        <f t="shared" si="79"/>
        <v>0</v>
      </c>
      <c r="AN108" s="39">
        <v>21</v>
      </c>
      <c r="AO108" s="39">
        <f>G108*0.063272727</f>
        <v>0</v>
      </c>
      <c r="AP108" s="39">
        <f>G108*(1-0.063272727)</f>
        <v>0</v>
      </c>
      <c r="AQ108" s="40" t="s">
        <v>120</v>
      </c>
      <c r="AV108" s="39">
        <f t="shared" si="80"/>
        <v>0</v>
      </c>
      <c r="AW108" s="39">
        <f t="shared" si="81"/>
        <v>0</v>
      </c>
      <c r="AX108" s="39">
        <f t="shared" si="82"/>
        <v>0</v>
      </c>
      <c r="AY108" s="40" t="s">
        <v>357</v>
      </c>
      <c r="AZ108" s="40" t="s">
        <v>358</v>
      </c>
      <c r="BA108" s="30" t="s">
        <v>123</v>
      </c>
      <c r="BC108" s="39">
        <f t="shared" si="83"/>
        <v>0</v>
      </c>
      <c r="BD108" s="39">
        <f t="shared" si="84"/>
        <v>0</v>
      </c>
      <c r="BE108" s="39">
        <v>0</v>
      </c>
      <c r="BF108" s="39">
        <f>108</f>
        <v>108</v>
      </c>
      <c r="BH108" s="39">
        <f t="shared" si="85"/>
        <v>0</v>
      </c>
      <c r="BI108" s="39">
        <f t="shared" si="86"/>
        <v>0</v>
      </c>
      <c r="BJ108" s="39">
        <f t="shared" si="87"/>
        <v>0</v>
      </c>
      <c r="BK108" s="39"/>
      <c r="BL108" s="39">
        <v>722</v>
      </c>
      <c r="BW108" s="39">
        <v>21</v>
      </c>
      <c r="BX108" s="1" t="s">
        <v>398</v>
      </c>
    </row>
    <row r="109" spans="1:76" x14ac:dyDescent="0.25">
      <c r="A109" s="58" t="s">
        <v>399</v>
      </c>
      <c r="B109" s="44" t="s">
        <v>400</v>
      </c>
      <c r="C109" s="157" t="s">
        <v>401</v>
      </c>
      <c r="D109" s="158"/>
      <c r="E109" s="44" t="s">
        <v>178</v>
      </c>
      <c r="F109" s="45">
        <v>2.01E-2</v>
      </c>
      <c r="G109" s="45">
        <v>0</v>
      </c>
      <c r="H109" s="45">
        <f t="shared" si="66"/>
        <v>0</v>
      </c>
      <c r="I109" s="45">
        <f t="shared" si="67"/>
        <v>0</v>
      </c>
      <c r="J109" s="45">
        <f t="shared" si="68"/>
        <v>0</v>
      </c>
      <c r="K109" s="59" t="s">
        <v>119</v>
      </c>
      <c r="Z109" s="39">
        <f t="shared" si="69"/>
        <v>0</v>
      </c>
      <c r="AB109" s="39">
        <f t="shared" si="70"/>
        <v>0</v>
      </c>
      <c r="AC109" s="39">
        <f t="shared" si="71"/>
        <v>0</v>
      </c>
      <c r="AD109" s="39">
        <f t="shared" si="72"/>
        <v>0</v>
      </c>
      <c r="AE109" s="39">
        <f t="shared" si="73"/>
        <v>0</v>
      </c>
      <c r="AF109" s="39">
        <f t="shared" si="74"/>
        <v>0</v>
      </c>
      <c r="AG109" s="39">
        <f t="shared" si="75"/>
        <v>0</v>
      </c>
      <c r="AH109" s="39">
        <f t="shared" si="76"/>
        <v>0</v>
      </c>
      <c r="AI109" s="30" t="s">
        <v>4</v>
      </c>
      <c r="AJ109" s="39">
        <f t="shared" si="77"/>
        <v>0</v>
      </c>
      <c r="AK109" s="39">
        <f t="shared" si="78"/>
        <v>0</v>
      </c>
      <c r="AL109" s="39">
        <f t="shared" si="79"/>
        <v>0</v>
      </c>
      <c r="AN109" s="39">
        <v>21</v>
      </c>
      <c r="AO109" s="39">
        <f>G109*0</f>
        <v>0</v>
      </c>
      <c r="AP109" s="39">
        <f>G109*(1-0)</f>
        <v>0</v>
      </c>
      <c r="AQ109" s="40" t="s">
        <v>137</v>
      </c>
      <c r="AV109" s="39">
        <f t="shared" si="80"/>
        <v>0</v>
      </c>
      <c r="AW109" s="39">
        <f t="shared" si="81"/>
        <v>0</v>
      </c>
      <c r="AX109" s="39">
        <f t="shared" si="82"/>
        <v>0</v>
      </c>
      <c r="AY109" s="40" t="s">
        <v>357</v>
      </c>
      <c r="AZ109" s="40" t="s">
        <v>358</v>
      </c>
      <c r="BA109" s="30" t="s">
        <v>123</v>
      </c>
      <c r="BC109" s="39">
        <f t="shared" si="83"/>
        <v>0</v>
      </c>
      <c r="BD109" s="39">
        <f t="shared" si="84"/>
        <v>0</v>
      </c>
      <c r="BE109" s="39">
        <v>0</v>
      </c>
      <c r="BF109" s="39">
        <f>109</f>
        <v>109</v>
      </c>
      <c r="BH109" s="39">
        <f t="shared" si="85"/>
        <v>0</v>
      </c>
      <c r="BI109" s="39">
        <f t="shared" si="86"/>
        <v>0</v>
      </c>
      <c r="BJ109" s="39">
        <f t="shared" si="87"/>
        <v>0</v>
      </c>
      <c r="BK109" s="39"/>
      <c r="BL109" s="39">
        <v>722</v>
      </c>
      <c r="BW109" s="39">
        <v>21</v>
      </c>
      <c r="BX109" s="1" t="s">
        <v>401</v>
      </c>
    </row>
    <row r="110" spans="1:76" x14ac:dyDescent="0.25">
      <c r="A110" s="64" t="s">
        <v>4</v>
      </c>
      <c r="B110" s="42" t="s">
        <v>402</v>
      </c>
      <c r="C110" s="161" t="s">
        <v>403</v>
      </c>
      <c r="D110" s="162"/>
      <c r="E110" s="41" t="s">
        <v>77</v>
      </c>
      <c r="F110" s="41" t="s">
        <v>77</v>
      </c>
      <c r="G110" s="41" t="s">
        <v>77</v>
      </c>
      <c r="H110" s="43">
        <f>SUM(H111:H113)</f>
        <v>0</v>
      </c>
      <c r="I110" s="43">
        <f>SUM(I111:I113)</f>
        <v>0</v>
      </c>
      <c r="J110" s="43">
        <f>SUM(J111:J113)</f>
        <v>0</v>
      </c>
      <c r="K110" s="65" t="s">
        <v>4</v>
      </c>
      <c r="AI110" s="30" t="s">
        <v>4</v>
      </c>
      <c r="AS110" s="24">
        <f>SUM(AJ111:AJ113)</f>
        <v>0</v>
      </c>
      <c r="AT110" s="24">
        <f>SUM(AK111:AK113)</f>
        <v>0</v>
      </c>
      <c r="AU110" s="24">
        <f>SUM(AL111:AL113)</f>
        <v>0</v>
      </c>
    </row>
    <row r="111" spans="1:76" x14ac:dyDescent="0.25">
      <c r="A111" s="58" t="s">
        <v>404</v>
      </c>
      <c r="B111" s="44" t="s">
        <v>405</v>
      </c>
      <c r="C111" s="157" t="s">
        <v>406</v>
      </c>
      <c r="D111" s="158"/>
      <c r="E111" s="44" t="s">
        <v>184</v>
      </c>
      <c r="F111" s="45">
        <v>24</v>
      </c>
      <c r="G111" s="45">
        <v>0</v>
      </c>
      <c r="H111" s="45">
        <f>F111*AO111</f>
        <v>0</v>
      </c>
      <c r="I111" s="45">
        <f>F111*AP111</f>
        <v>0</v>
      </c>
      <c r="J111" s="45">
        <f>F111*G111</f>
        <v>0</v>
      </c>
      <c r="K111" s="59" t="s">
        <v>119</v>
      </c>
      <c r="Z111" s="39">
        <f>IF(AQ111="5",BJ111,0)</f>
        <v>0</v>
      </c>
      <c r="AB111" s="39">
        <f>IF(AQ111="1",BH111,0)</f>
        <v>0</v>
      </c>
      <c r="AC111" s="39">
        <f>IF(AQ111="1",BI111,0)</f>
        <v>0</v>
      </c>
      <c r="AD111" s="39">
        <f>IF(AQ111="7",BH111,0)</f>
        <v>0</v>
      </c>
      <c r="AE111" s="39">
        <f>IF(AQ111="7",BI111,0)</f>
        <v>0</v>
      </c>
      <c r="AF111" s="39">
        <f>IF(AQ111="2",BH111,0)</f>
        <v>0</v>
      </c>
      <c r="AG111" s="39">
        <f>IF(AQ111="2",BI111,0)</f>
        <v>0</v>
      </c>
      <c r="AH111" s="39">
        <f>IF(AQ111="0",BJ111,0)</f>
        <v>0</v>
      </c>
      <c r="AI111" s="30" t="s">
        <v>4</v>
      </c>
      <c r="AJ111" s="39">
        <f>IF(AN111=0,J111,0)</f>
        <v>0</v>
      </c>
      <c r="AK111" s="39">
        <f>IF(AN111=12,J111,0)</f>
        <v>0</v>
      </c>
      <c r="AL111" s="39">
        <f>IF(AN111=21,J111,0)</f>
        <v>0</v>
      </c>
      <c r="AN111" s="39">
        <v>21</v>
      </c>
      <c r="AO111" s="39">
        <f>G111*0.189303079</f>
        <v>0</v>
      </c>
      <c r="AP111" s="39">
        <f>G111*(1-0.189303079)</f>
        <v>0</v>
      </c>
      <c r="AQ111" s="40" t="s">
        <v>120</v>
      </c>
      <c r="AV111" s="39">
        <f>AW111+AX111</f>
        <v>0</v>
      </c>
      <c r="AW111" s="39">
        <f>F111*AO111</f>
        <v>0</v>
      </c>
      <c r="AX111" s="39">
        <f>F111*AP111</f>
        <v>0</v>
      </c>
      <c r="AY111" s="40" t="s">
        <v>407</v>
      </c>
      <c r="AZ111" s="40" t="s">
        <v>408</v>
      </c>
      <c r="BA111" s="30" t="s">
        <v>123</v>
      </c>
      <c r="BC111" s="39">
        <f>AW111+AX111</f>
        <v>0</v>
      </c>
      <c r="BD111" s="39">
        <f>G111/(100-BE111)*100</f>
        <v>0</v>
      </c>
      <c r="BE111" s="39">
        <v>0</v>
      </c>
      <c r="BF111" s="39">
        <f>111</f>
        <v>111</v>
      </c>
      <c r="BH111" s="39">
        <f>F111*AO111</f>
        <v>0</v>
      </c>
      <c r="BI111" s="39">
        <f>F111*AP111</f>
        <v>0</v>
      </c>
      <c r="BJ111" s="39">
        <f>F111*G111</f>
        <v>0</v>
      </c>
      <c r="BK111" s="39"/>
      <c r="BL111" s="39">
        <v>783</v>
      </c>
      <c r="BW111" s="39">
        <v>21</v>
      </c>
      <c r="BX111" s="1" t="s">
        <v>406</v>
      </c>
    </row>
    <row r="112" spans="1:76" x14ac:dyDescent="0.25">
      <c r="A112" s="62" t="s">
        <v>409</v>
      </c>
      <c r="B112" s="49" t="s">
        <v>410</v>
      </c>
      <c r="C112" s="159" t="s">
        <v>411</v>
      </c>
      <c r="D112" s="160"/>
      <c r="E112" s="49" t="s">
        <v>184</v>
      </c>
      <c r="F112" s="50">
        <v>9</v>
      </c>
      <c r="G112" s="50">
        <v>0</v>
      </c>
      <c r="H112" s="50">
        <f>F112*AO112</f>
        <v>0</v>
      </c>
      <c r="I112" s="50">
        <f>F112*AP112</f>
        <v>0</v>
      </c>
      <c r="J112" s="50">
        <f>F112*G112</f>
        <v>0</v>
      </c>
      <c r="K112" s="63" t="s">
        <v>119</v>
      </c>
      <c r="Z112" s="39">
        <f>IF(AQ112="5",BJ112,0)</f>
        <v>0</v>
      </c>
      <c r="AB112" s="39">
        <f>IF(AQ112="1",BH112,0)</f>
        <v>0</v>
      </c>
      <c r="AC112" s="39">
        <f>IF(AQ112="1",BI112,0)</f>
        <v>0</v>
      </c>
      <c r="AD112" s="39">
        <f>IF(AQ112="7",BH112,0)</f>
        <v>0</v>
      </c>
      <c r="AE112" s="39">
        <f>IF(AQ112="7",BI112,0)</f>
        <v>0</v>
      </c>
      <c r="AF112" s="39">
        <f>IF(AQ112="2",BH112,0)</f>
        <v>0</v>
      </c>
      <c r="AG112" s="39">
        <f>IF(AQ112="2",BI112,0)</f>
        <v>0</v>
      </c>
      <c r="AH112" s="39">
        <f>IF(AQ112="0",BJ112,0)</f>
        <v>0</v>
      </c>
      <c r="AI112" s="30" t="s">
        <v>4</v>
      </c>
      <c r="AJ112" s="39">
        <f>IF(AN112=0,J112,0)</f>
        <v>0</v>
      </c>
      <c r="AK112" s="39">
        <f>IF(AN112=12,J112,0)</f>
        <v>0</v>
      </c>
      <c r="AL112" s="39">
        <f>IF(AN112=21,J112,0)</f>
        <v>0</v>
      </c>
      <c r="AN112" s="39">
        <v>21</v>
      </c>
      <c r="AO112" s="39">
        <f>G112*0.21070904</f>
        <v>0</v>
      </c>
      <c r="AP112" s="39">
        <f>G112*(1-0.21070904)</f>
        <v>0</v>
      </c>
      <c r="AQ112" s="40" t="s">
        <v>120</v>
      </c>
      <c r="AV112" s="39">
        <f>AW112+AX112</f>
        <v>0</v>
      </c>
      <c r="AW112" s="39">
        <f>F112*AO112</f>
        <v>0</v>
      </c>
      <c r="AX112" s="39">
        <f>F112*AP112</f>
        <v>0</v>
      </c>
      <c r="AY112" s="40" t="s">
        <v>407</v>
      </c>
      <c r="AZ112" s="40" t="s">
        <v>408</v>
      </c>
      <c r="BA112" s="30" t="s">
        <v>123</v>
      </c>
      <c r="BC112" s="39">
        <f>AW112+AX112</f>
        <v>0</v>
      </c>
      <c r="BD112" s="39">
        <f>G112/(100-BE112)*100</f>
        <v>0</v>
      </c>
      <c r="BE112" s="39">
        <v>0</v>
      </c>
      <c r="BF112" s="39">
        <f>112</f>
        <v>112</v>
      </c>
      <c r="BH112" s="39">
        <f>F112*AO112</f>
        <v>0</v>
      </c>
      <c r="BI112" s="39">
        <f>F112*AP112</f>
        <v>0</v>
      </c>
      <c r="BJ112" s="39">
        <f>F112*G112</f>
        <v>0</v>
      </c>
      <c r="BK112" s="39"/>
      <c r="BL112" s="39">
        <v>783</v>
      </c>
      <c r="BW112" s="39">
        <v>21</v>
      </c>
      <c r="BX112" s="1" t="s">
        <v>411</v>
      </c>
    </row>
    <row r="113" spans="1:76" x14ac:dyDescent="0.25">
      <c r="A113" s="58" t="s">
        <v>412</v>
      </c>
      <c r="B113" s="44" t="s">
        <v>413</v>
      </c>
      <c r="C113" s="157" t="s">
        <v>414</v>
      </c>
      <c r="D113" s="158"/>
      <c r="E113" s="44" t="s">
        <v>415</v>
      </c>
      <c r="F113" s="45">
        <v>20</v>
      </c>
      <c r="G113" s="45">
        <v>0</v>
      </c>
      <c r="H113" s="45">
        <f>F113*AO113</f>
        <v>0</v>
      </c>
      <c r="I113" s="45">
        <f>F113*AP113</f>
        <v>0</v>
      </c>
      <c r="J113" s="45">
        <f>F113*G113</f>
        <v>0</v>
      </c>
      <c r="K113" s="59" t="s">
        <v>119</v>
      </c>
      <c r="Z113" s="39">
        <f>IF(AQ113="5",BJ113,0)</f>
        <v>0</v>
      </c>
      <c r="AB113" s="39">
        <f>IF(AQ113="1",BH113,0)</f>
        <v>0</v>
      </c>
      <c r="AC113" s="39">
        <f>IF(AQ113="1",BI113,0)</f>
        <v>0</v>
      </c>
      <c r="AD113" s="39">
        <f>IF(AQ113="7",BH113,0)</f>
        <v>0</v>
      </c>
      <c r="AE113" s="39">
        <f>IF(AQ113="7",BI113,0)</f>
        <v>0</v>
      </c>
      <c r="AF113" s="39">
        <f>IF(AQ113="2",BH113,0)</f>
        <v>0</v>
      </c>
      <c r="AG113" s="39">
        <f>IF(AQ113="2",BI113,0)</f>
        <v>0</v>
      </c>
      <c r="AH113" s="39">
        <f>IF(AQ113="0",BJ113,0)</f>
        <v>0</v>
      </c>
      <c r="AI113" s="30" t="s">
        <v>4</v>
      </c>
      <c r="AJ113" s="39">
        <f>IF(AN113=0,J113,0)</f>
        <v>0</v>
      </c>
      <c r="AK113" s="39">
        <f>IF(AN113=12,J113,0)</f>
        <v>0</v>
      </c>
      <c r="AL113" s="39">
        <f>IF(AN113=21,J113,0)</f>
        <v>0</v>
      </c>
      <c r="AN113" s="39">
        <v>21</v>
      </c>
      <c r="AO113" s="39">
        <f>G113*0.12380468</f>
        <v>0</v>
      </c>
      <c r="AP113" s="39">
        <f>G113*(1-0.12380468)</f>
        <v>0</v>
      </c>
      <c r="AQ113" s="40" t="s">
        <v>120</v>
      </c>
      <c r="AV113" s="39">
        <f>AW113+AX113</f>
        <v>0</v>
      </c>
      <c r="AW113" s="39">
        <f>F113*AO113</f>
        <v>0</v>
      </c>
      <c r="AX113" s="39">
        <f>F113*AP113</f>
        <v>0</v>
      </c>
      <c r="AY113" s="40" t="s">
        <v>407</v>
      </c>
      <c r="AZ113" s="40" t="s">
        <v>408</v>
      </c>
      <c r="BA113" s="30" t="s">
        <v>123</v>
      </c>
      <c r="BC113" s="39">
        <f>AW113+AX113</f>
        <v>0</v>
      </c>
      <c r="BD113" s="39">
        <f>G113/(100-BE113)*100</f>
        <v>0</v>
      </c>
      <c r="BE113" s="39">
        <v>0</v>
      </c>
      <c r="BF113" s="39">
        <f>113</f>
        <v>113</v>
      </c>
      <c r="BH113" s="39">
        <f>F113*AO113</f>
        <v>0</v>
      </c>
      <c r="BI113" s="39">
        <f>F113*AP113</f>
        <v>0</v>
      </c>
      <c r="BJ113" s="39">
        <f>F113*G113</f>
        <v>0</v>
      </c>
      <c r="BK113" s="39"/>
      <c r="BL113" s="39">
        <v>783</v>
      </c>
      <c r="BW113" s="39">
        <v>21</v>
      </c>
      <c r="BX113" s="1" t="s">
        <v>414</v>
      </c>
    </row>
    <row r="114" spans="1:76" x14ac:dyDescent="0.25">
      <c r="A114" s="64" t="s">
        <v>4</v>
      </c>
      <c r="B114" s="42" t="s">
        <v>416</v>
      </c>
      <c r="C114" s="161" t="s">
        <v>35</v>
      </c>
      <c r="D114" s="162"/>
      <c r="E114" s="41" t="s">
        <v>77</v>
      </c>
      <c r="F114" s="41" t="s">
        <v>77</v>
      </c>
      <c r="G114" s="41" t="s">
        <v>77</v>
      </c>
      <c r="H114" s="43">
        <f>SUM(H115:H123)</f>
        <v>0</v>
      </c>
      <c r="I114" s="43">
        <f>SUM(I115:I123)</f>
        <v>0</v>
      </c>
      <c r="J114" s="43">
        <f>SUM(J115:J123)</f>
        <v>0</v>
      </c>
      <c r="K114" s="65" t="s">
        <v>4</v>
      </c>
      <c r="AI114" s="30" t="s">
        <v>4</v>
      </c>
      <c r="AS114" s="24">
        <f>SUM(AJ115:AJ123)</f>
        <v>0</v>
      </c>
      <c r="AT114" s="24">
        <f>SUM(AK115:AK123)</f>
        <v>0</v>
      </c>
      <c r="AU114" s="24">
        <f>SUM(AL115:AL123)</f>
        <v>0</v>
      </c>
    </row>
    <row r="115" spans="1:76" x14ac:dyDescent="0.25">
      <c r="A115" s="62" t="s">
        <v>417</v>
      </c>
      <c r="B115" s="49" t="s">
        <v>418</v>
      </c>
      <c r="C115" s="159" t="s">
        <v>419</v>
      </c>
      <c r="D115" s="160"/>
      <c r="E115" s="49" t="s">
        <v>127</v>
      </c>
      <c r="F115" s="50">
        <v>2</v>
      </c>
      <c r="G115" s="50">
        <v>0</v>
      </c>
      <c r="H115" s="50">
        <f t="shared" ref="H115:H123" si="88">F115*AO115</f>
        <v>0</v>
      </c>
      <c r="I115" s="50">
        <f t="shared" ref="I115:I123" si="89">F115*AP115</f>
        <v>0</v>
      </c>
      <c r="J115" s="50">
        <f t="shared" ref="J115:J123" si="90">F115*G115</f>
        <v>0</v>
      </c>
      <c r="K115" s="63" t="s">
        <v>4</v>
      </c>
      <c r="Z115" s="39">
        <f t="shared" ref="Z115:Z123" si="91">IF(AQ115="5",BJ115,0)</f>
        <v>0</v>
      </c>
      <c r="AB115" s="39">
        <f t="shared" ref="AB115:AB123" si="92">IF(AQ115="1",BH115,0)</f>
        <v>0</v>
      </c>
      <c r="AC115" s="39">
        <f t="shared" ref="AC115:AC123" si="93">IF(AQ115="1",BI115,0)</f>
        <v>0</v>
      </c>
      <c r="AD115" s="39">
        <f t="shared" ref="AD115:AD123" si="94">IF(AQ115="7",BH115,0)</f>
        <v>0</v>
      </c>
      <c r="AE115" s="39">
        <f t="shared" ref="AE115:AE123" si="95">IF(AQ115="7",BI115,0)</f>
        <v>0</v>
      </c>
      <c r="AF115" s="39">
        <f t="shared" ref="AF115:AF123" si="96">IF(AQ115="2",BH115,0)</f>
        <v>0</v>
      </c>
      <c r="AG115" s="39">
        <f t="shared" ref="AG115:AG123" si="97">IF(AQ115="2",BI115,0)</f>
        <v>0</v>
      </c>
      <c r="AH115" s="39">
        <f t="shared" ref="AH115:AH123" si="98">IF(AQ115="0",BJ115,0)</f>
        <v>0</v>
      </c>
      <c r="AI115" s="30" t="s">
        <v>4</v>
      </c>
      <c r="AJ115" s="39">
        <f t="shared" ref="AJ115:AJ123" si="99">IF(AN115=0,J115,0)</f>
        <v>0</v>
      </c>
      <c r="AK115" s="39">
        <f t="shared" ref="AK115:AK123" si="100">IF(AN115=12,J115,0)</f>
        <v>0</v>
      </c>
      <c r="AL115" s="39">
        <f t="shared" ref="AL115:AL123" si="101">IF(AN115=21,J115,0)</f>
        <v>0</v>
      </c>
      <c r="AN115" s="39">
        <v>21</v>
      </c>
      <c r="AO115" s="39">
        <f>G115*0</f>
        <v>0</v>
      </c>
      <c r="AP115" s="39">
        <f>G115*(1-0)</f>
        <v>0</v>
      </c>
      <c r="AQ115" s="40" t="s">
        <v>115</v>
      </c>
      <c r="AV115" s="39">
        <f t="shared" ref="AV115:AV123" si="102">AW115+AX115</f>
        <v>0</v>
      </c>
      <c r="AW115" s="39">
        <f t="shared" ref="AW115:AW123" si="103">F115*AO115</f>
        <v>0</v>
      </c>
      <c r="AX115" s="39">
        <f t="shared" ref="AX115:AX123" si="104">F115*AP115</f>
        <v>0</v>
      </c>
      <c r="AY115" s="40" t="s">
        <v>420</v>
      </c>
      <c r="AZ115" s="40" t="s">
        <v>420</v>
      </c>
      <c r="BA115" s="30" t="s">
        <v>123</v>
      </c>
      <c r="BC115" s="39">
        <f t="shared" ref="BC115:BC123" si="105">AW115+AX115</f>
        <v>0</v>
      </c>
      <c r="BD115" s="39">
        <f t="shared" ref="BD115:BD123" si="106">G115/(100-BE115)*100</f>
        <v>0</v>
      </c>
      <c r="BE115" s="39">
        <v>0</v>
      </c>
      <c r="BF115" s="39">
        <f>115</f>
        <v>115</v>
      </c>
      <c r="BH115" s="39">
        <f t="shared" ref="BH115:BH123" si="107">F115*AO115</f>
        <v>0</v>
      </c>
      <c r="BI115" s="39">
        <f t="shared" ref="BI115:BI123" si="108">F115*AP115</f>
        <v>0</v>
      </c>
      <c r="BJ115" s="39">
        <f t="shared" ref="BJ115:BJ123" si="109">F115*G115</f>
        <v>0</v>
      </c>
      <c r="BK115" s="39"/>
      <c r="BL115" s="39">
        <v>0</v>
      </c>
      <c r="BW115" s="39">
        <v>21</v>
      </c>
      <c r="BX115" s="1" t="s">
        <v>419</v>
      </c>
    </row>
    <row r="116" spans="1:76" x14ac:dyDescent="0.25">
      <c r="A116" s="62" t="s">
        <v>421</v>
      </c>
      <c r="B116" s="49" t="s">
        <v>422</v>
      </c>
      <c r="C116" s="159" t="s">
        <v>423</v>
      </c>
      <c r="D116" s="160"/>
      <c r="E116" s="49" t="s">
        <v>127</v>
      </c>
      <c r="F116" s="50">
        <v>2</v>
      </c>
      <c r="G116" s="50">
        <v>0</v>
      </c>
      <c r="H116" s="50">
        <f t="shared" si="88"/>
        <v>0</v>
      </c>
      <c r="I116" s="50">
        <f t="shared" si="89"/>
        <v>0</v>
      </c>
      <c r="J116" s="50">
        <f t="shared" si="90"/>
        <v>0</v>
      </c>
      <c r="K116" s="63" t="s">
        <v>4</v>
      </c>
      <c r="Z116" s="39">
        <f t="shared" si="91"/>
        <v>0</v>
      </c>
      <c r="AB116" s="39">
        <f t="shared" si="92"/>
        <v>0</v>
      </c>
      <c r="AC116" s="39">
        <f t="shared" si="93"/>
        <v>0</v>
      </c>
      <c r="AD116" s="39">
        <f t="shared" si="94"/>
        <v>0</v>
      </c>
      <c r="AE116" s="39">
        <f t="shared" si="95"/>
        <v>0</v>
      </c>
      <c r="AF116" s="39">
        <f t="shared" si="96"/>
        <v>0</v>
      </c>
      <c r="AG116" s="39">
        <f t="shared" si="97"/>
        <v>0</v>
      </c>
      <c r="AH116" s="39">
        <f t="shared" si="98"/>
        <v>0</v>
      </c>
      <c r="AI116" s="30" t="s">
        <v>4</v>
      </c>
      <c r="AJ116" s="39">
        <f t="shared" si="99"/>
        <v>0</v>
      </c>
      <c r="AK116" s="39">
        <f t="shared" si="100"/>
        <v>0</v>
      </c>
      <c r="AL116" s="39">
        <f t="shared" si="101"/>
        <v>0</v>
      </c>
      <c r="AN116" s="39">
        <v>21</v>
      </c>
      <c r="AO116" s="39">
        <f>G116*0</f>
        <v>0</v>
      </c>
      <c r="AP116" s="39">
        <f>G116*(1-0)</f>
        <v>0</v>
      </c>
      <c r="AQ116" s="40" t="s">
        <v>115</v>
      </c>
      <c r="AV116" s="39">
        <f t="shared" si="102"/>
        <v>0</v>
      </c>
      <c r="AW116" s="39">
        <f t="shared" si="103"/>
        <v>0</v>
      </c>
      <c r="AX116" s="39">
        <f t="shared" si="104"/>
        <v>0</v>
      </c>
      <c r="AY116" s="40" t="s">
        <v>420</v>
      </c>
      <c r="AZ116" s="40" t="s">
        <v>420</v>
      </c>
      <c r="BA116" s="30" t="s">
        <v>123</v>
      </c>
      <c r="BC116" s="39">
        <f t="shared" si="105"/>
        <v>0</v>
      </c>
      <c r="BD116" s="39">
        <f t="shared" si="106"/>
        <v>0</v>
      </c>
      <c r="BE116" s="39">
        <v>0</v>
      </c>
      <c r="BF116" s="39">
        <f>116</f>
        <v>116</v>
      </c>
      <c r="BH116" s="39">
        <f t="shared" si="107"/>
        <v>0</v>
      </c>
      <c r="BI116" s="39">
        <f t="shared" si="108"/>
        <v>0</v>
      </c>
      <c r="BJ116" s="39">
        <f t="shared" si="109"/>
        <v>0</v>
      </c>
      <c r="BK116" s="39"/>
      <c r="BL116" s="39">
        <v>0</v>
      </c>
      <c r="BW116" s="39">
        <v>21</v>
      </c>
      <c r="BX116" s="1" t="s">
        <v>423</v>
      </c>
    </row>
    <row r="117" spans="1:76" x14ac:dyDescent="0.25">
      <c r="A117" s="58" t="s">
        <v>424</v>
      </c>
      <c r="B117" s="44" t="s">
        <v>425</v>
      </c>
      <c r="C117" s="157" t="s">
        <v>426</v>
      </c>
      <c r="D117" s="158"/>
      <c r="E117" s="44" t="s">
        <v>127</v>
      </c>
      <c r="F117" s="45">
        <v>1</v>
      </c>
      <c r="G117" s="45">
        <v>0</v>
      </c>
      <c r="H117" s="45">
        <f t="shared" si="88"/>
        <v>0</v>
      </c>
      <c r="I117" s="45">
        <f t="shared" si="89"/>
        <v>0</v>
      </c>
      <c r="J117" s="45">
        <f t="shared" si="90"/>
        <v>0</v>
      </c>
      <c r="K117" s="59" t="s">
        <v>4</v>
      </c>
      <c r="Z117" s="39">
        <f t="shared" si="91"/>
        <v>0</v>
      </c>
      <c r="AB117" s="39">
        <f t="shared" si="92"/>
        <v>0</v>
      </c>
      <c r="AC117" s="39">
        <f t="shared" si="93"/>
        <v>0</v>
      </c>
      <c r="AD117" s="39">
        <f t="shared" si="94"/>
        <v>0</v>
      </c>
      <c r="AE117" s="39">
        <f t="shared" si="95"/>
        <v>0</v>
      </c>
      <c r="AF117" s="39">
        <f t="shared" si="96"/>
        <v>0</v>
      </c>
      <c r="AG117" s="39">
        <f t="shared" si="97"/>
        <v>0</v>
      </c>
      <c r="AH117" s="39">
        <f t="shared" si="98"/>
        <v>0</v>
      </c>
      <c r="AI117" s="30" t="s">
        <v>4</v>
      </c>
      <c r="AJ117" s="39">
        <f t="shared" si="99"/>
        <v>0</v>
      </c>
      <c r="AK117" s="39">
        <f t="shared" si="100"/>
        <v>0</v>
      </c>
      <c r="AL117" s="39">
        <f t="shared" si="101"/>
        <v>0</v>
      </c>
      <c r="AN117" s="39">
        <v>21</v>
      </c>
      <c r="AO117" s="39">
        <f>G117*0</f>
        <v>0</v>
      </c>
      <c r="AP117" s="39">
        <f>G117*(1-0)</f>
        <v>0</v>
      </c>
      <c r="AQ117" s="40" t="s">
        <v>115</v>
      </c>
      <c r="AV117" s="39">
        <f t="shared" si="102"/>
        <v>0</v>
      </c>
      <c r="AW117" s="39">
        <f t="shared" si="103"/>
        <v>0</v>
      </c>
      <c r="AX117" s="39">
        <f t="shared" si="104"/>
        <v>0</v>
      </c>
      <c r="AY117" s="40" t="s">
        <v>420</v>
      </c>
      <c r="AZ117" s="40" t="s">
        <v>420</v>
      </c>
      <c r="BA117" s="30" t="s">
        <v>123</v>
      </c>
      <c r="BC117" s="39">
        <f t="shared" si="105"/>
        <v>0</v>
      </c>
      <c r="BD117" s="39">
        <f t="shared" si="106"/>
        <v>0</v>
      </c>
      <c r="BE117" s="39">
        <v>0</v>
      </c>
      <c r="BF117" s="39">
        <f>117</f>
        <v>117</v>
      </c>
      <c r="BH117" s="39">
        <f t="shared" si="107"/>
        <v>0</v>
      </c>
      <c r="BI117" s="39">
        <f t="shared" si="108"/>
        <v>0</v>
      </c>
      <c r="BJ117" s="39">
        <f t="shared" si="109"/>
        <v>0</v>
      </c>
      <c r="BK117" s="39"/>
      <c r="BL117" s="39">
        <v>0</v>
      </c>
      <c r="BW117" s="39">
        <v>21</v>
      </c>
      <c r="BX117" s="1" t="s">
        <v>426</v>
      </c>
    </row>
    <row r="118" spans="1:76" x14ac:dyDescent="0.25">
      <c r="A118" s="58" t="s">
        <v>427</v>
      </c>
      <c r="B118" s="44" t="s">
        <v>428</v>
      </c>
      <c r="C118" s="157" t="s">
        <v>429</v>
      </c>
      <c r="D118" s="158"/>
      <c r="E118" s="44" t="s">
        <v>127</v>
      </c>
      <c r="F118" s="45">
        <v>1</v>
      </c>
      <c r="G118" s="45">
        <v>0</v>
      </c>
      <c r="H118" s="45">
        <f t="shared" si="88"/>
        <v>0</v>
      </c>
      <c r="I118" s="45">
        <f t="shared" si="89"/>
        <v>0</v>
      </c>
      <c r="J118" s="45">
        <f t="shared" si="90"/>
        <v>0</v>
      </c>
      <c r="K118" s="59" t="s">
        <v>4</v>
      </c>
      <c r="Z118" s="39">
        <f t="shared" si="91"/>
        <v>0</v>
      </c>
      <c r="AB118" s="39">
        <f t="shared" si="92"/>
        <v>0</v>
      </c>
      <c r="AC118" s="39">
        <f t="shared" si="93"/>
        <v>0</v>
      </c>
      <c r="AD118" s="39">
        <f t="shared" si="94"/>
        <v>0</v>
      </c>
      <c r="AE118" s="39">
        <f t="shared" si="95"/>
        <v>0</v>
      </c>
      <c r="AF118" s="39">
        <f t="shared" si="96"/>
        <v>0</v>
      </c>
      <c r="AG118" s="39">
        <f t="shared" si="97"/>
        <v>0</v>
      </c>
      <c r="AH118" s="39">
        <f t="shared" si="98"/>
        <v>0</v>
      </c>
      <c r="AI118" s="30" t="s">
        <v>4</v>
      </c>
      <c r="AJ118" s="39">
        <f t="shared" si="99"/>
        <v>0</v>
      </c>
      <c r="AK118" s="39">
        <f t="shared" si="100"/>
        <v>0</v>
      </c>
      <c r="AL118" s="39">
        <f t="shared" si="101"/>
        <v>0</v>
      </c>
      <c r="AN118" s="39">
        <v>21</v>
      </c>
      <c r="AO118" s="39">
        <f>G118*0</f>
        <v>0</v>
      </c>
      <c r="AP118" s="39">
        <f>G118*(1-0)</f>
        <v>0</v>
      </c>
      <c r="AQ118" s="40" t="s">
        <v>115</v>
      </c>
      <c r="AV118" s="39">
        <f t="shared" si="102"/>
        <v>0</v>
      </c>
      <c r="AW118" s="39">
        <f t="shared" si="103"/>
        <v>0</v>
      </c>
      <c r="AX118" s="39">
        <f t="shared" si="104"/>
        <v>0</v>
      </c>
      <c r="AY118" s="40" t="s">
        <v>420</v>
      </c>
      <c r="AZ118" s="40" t="s">
        <v>420</v>
      </c>
      <c r="BA118" s="30" t="s">
        <v>123</v>
      </c>
      <c r="BC118" s="39">
        <f t="shared" si="105"/>
        <v>0</v>
      </c>
      <c r="BD118" s="39">
        <f t="shared" si="106"/>
        <v>0</v>
      </c>
      <c r="BE118" s="39">
        <v>0</v>
      </c>
      <c r="BF118" s="39">
        <f>118</f>
        <v>118</v>
      </c>
      <c r="BH118" s="39">
        <f t="shared" si="107"/>
        <v>0</v>
      </c>
      <c r="BI118" s="39">
        <f t="shared" si="108"/>
        <v>0</v>
      </c>
      <c r="BJ118" s="39">
        <f t="shared" si="109"/>
        <v>0</v>
      </c>
      <c r="BK118" s="39"/>
      <c r="BL118" s="39">
        <v>0</v>
      </c>
      <c r="BW118" s="39">
        <v>21</v>
      </c>
      <c r="BX118" s="1" t="s">
        <v>429</v>
      </c>
    </row>
    <row r="119" spans="1:76" x14ac:dyDescent="0.25">
      <c r="A119" s="58" t="s">
        <v>430</v>
      </c>
      <c r="B119" s="44" t="s">
        <v>431</v>
      </c>
      <c r="C119" s="157" t="s">
        <v>432</v>
      </c>
      <c r="D119" s="158"/>
      <c r="E119" s="44" t="s">
        <v>127</v>
      </c>
      <c r="F119" s="45">
        <v>1</v>
      </c>
      <c r="G119" s="45">
        <v>0</v>
      </c>
      <c r="H119" s="45">
        <f t="shared" si="88"/>
        <v>0</v>
      </c>
      <c r="I119" s="45">
        <f t="shared" si="89"/>
        <v>0</v>
      </c>
      <c r="J119" s="45">
        <f t="shared" si="90"/>
        <v>0</v>
      </c>
      <c r="K119" s="59" t="s">
        <v>4</v>
      </c>
      <c r="Z119" s="39">
        <f t="shared" si="91"/>
        <v>0</v>
      </c>
      <c r="AB119" s="39">
        <f t="shared" si="92"/>
        <v>0</v>
      </c>
      <c r="AC119" s="39">
        <f t="shared" si="93"/>
        <v>0</v>
      </c>
      <c r="AD119" s="39">
        <f t="shared" si="94"/>
        <v>0</v>
      </c>
      <c r="AE119" s="39">
        <f t="shared" si="95"/>
        <v>0</v>
      </c>
      <c r="AF119" s="39">
        <f t="shared" si="96"/>
        <v>0</v>
      </c>
      <c r="AG119" s="39">
        <f t="shared" si="97"/>
        <v>0</v>
      </c>
      <c r="AH119" s="39">
        <f t="shared" si="98"/>
        <v>0</v>
      </c>
      <c r="AI119" s="30" t="s">
        <v>4</v>
      </c>
      <c r="AJ119" s="39">
        <f t="shared" si="99"/>
        <v>0</v>
      </c>
      <c r="AK119" s="39">
        <f t="shared" si="100"/>
        <v>0</v>
      </c>
      <c r="AL119" s="39">
        <f t="shared" si="101"/>
        <v>0</v>
      </c>
      <c r="AN119" s="39">
        <v>21</v>
      </c>
      <c r="AO119" s="39">
        <f>G119*0</f>
        <v>0</v>
      </c>
      <c r="AP119" s="39">
        <f>G119*(1-0)</f>
        <v>0</v>
      </c>
      <c r="AQ119" s="40" t="s">
        <v>115</v>
      </c>
      <c r="AV119" s="39">
        <f t="shared" si="102"/>
        <v>0</v>
      </c>
      <c r="AW119" s="39">
        <f t="shared" si="103"/>
        <v>0</v>
      </c>
      <c r="AX119" s="39">
        <f t="shared" si="104"/>
        <v>0</v>
      </c>
      <c r="AY119" s="40" t="s">
        <v>420</v>
      </c>
      <c r="AZ119" s="40" t="s">
        <v>420</v>
      </c>
      <c r="BA119" s="30" t="s">
        <v>123</v>
      </c>
      <c r="BC119" s="39">
        <f t="shared" si="105"/>
        <v>0</v>
      </c>
      <c r="BD119" s="39">
        <f t="shared" si="106"/>
        <v>0</v>
      </c>
      <c r="BE119" s="39">
        <v>0</v>
      </c>
      <c r="BF119" s="39">
        <f>119</f>
        <v>119</v>
      </c>
      <c r="BH119" s="39">
        <f t="shared" si="107"/>
        <v>0</v>
      </c>
      <c r="BI119" s="39">
        <f t="shared" si="108"/>
        <v>0</v>
      </c>
      <c r="BJ119" s="39">
        <f t="shared" si="109"/>
        <v>0</v>
      </c>
      <c r="BK119" s="39"/>
      <c r="BL119" s="39">
        <v>0</v>
      </c>
      <c r="BW119" s="39">
        <v>21</v>
      </c>
      <c r="BX119" s="1" t="s">
        <v>432</v>
      </c>
    </row>
    <row r="120" spans="1:76" x14ac:dyDescent="0.25">
      <c r="A120" s="62" t="s">
        <v>433</v>
      </c>
      <c r="B120" s="49" t="s">
        <v>434</v>
      </c>
      <c r="C120" s="159" t="s">
        <v>435</v>
      </c>
      <c r="D120" s="160"/>
      <c r="E120" s="49" t="s">
        <v>415</v>
      </c>
      <c r="F120" s="50">
        <v>5</v>
      </c>
      <c r="G120" s="50">
        <v>0</v>
      </c>
      <c r="H120" s="50">
        <f t="shared" si="88"/>
        <v>0</v>
      </c>
      <c r="I120" s="50">
        <f t="shared" si="89"/>
        <v>0</v>
      </c>
      <c r="J120" s="50">
        <f t="shared" si="90"/>
        <v>0</v>
      </c>
      <c r="K120" s="63" t="s">
        <v>119</v>
      </c>
      <c r="Z120" s="39">
        <f t="shared" si="91"/>
        <v>0</v>
      </c>
      <c r="AB120" s="39">
        <f t="shared" si="92"/>
        <v>0</v>
      </c>
      <c r="AC120" s="39">
        <f t="shared" si="93"/>
        <v>0</v>
      </c>
      <c r="AD120" s="39">
        <f t="shared" si="94"/>
        <v>0</v>
      </c>
      <c r="AE120" s="39">
        <f t="shared" si="95"/>
        <v>0</v>
      </c>
      <c r="AF120" s="39">
        <f t="shared" si="96"/>
        <v>0</v>
      </c>
      <c r="AG120" s="39">
        <f t="shared" si="97"/>
        <v>0</v>
      </c>
      <c r="AH120" s="39">
        <f t="shared" si="98"/>
        <v>0</v>
      </c>
      <c r="AI120" s="30" t="s">
        <v>4</v>
      </c>
      <c r="AJ120" s="39">
        <f t="shared" si="99"/>
        <v>0</v>
      </c>
      <c r="AK120" s="39">
        <f t="shared" si="100"/>
        <v>0</v>
      </c>
      <c r="AL120" s="39">
        <f t="shared" si="101"/>
        <v>0</v>
      </c>
      <c r="AN120" s="39">
        <v>21</v>
      </c>
      <c r="AO120" s="39">
        <f>G120*0.36869258</f>
        <v>0</v>
      </c>
      <c r="AP120" s="39">
        <f>G120*(1-0.36869258)</f>
        <v>0</v>
      </c>
      <c r="AQ120" s="40" t="s">
        <v>115</v>
      </c>
      <c r="AV120" s="39">
        <f t="shared" si="102"/>
        <v>0</v>
      </c>
      <c r="AW120" s="39">
        <f t="shared" si="103"/>
        <v>0</v>
      </c>
      <c r="AX120" s="39">
        <f t="shared" si="104"/>
        <v>0</v>
      </c>
      <c r="AY120" s="40" t="s">
        <v>420</v>
      </c>
      <c r="AZ120" s="40" t="s">
        <v>420</v>
      </c>
      <c r="BA120" s="30" t="s">
        <v>123</v>
      </c>
      <c r="BC120" s="39">
        <f t="shared" si="105"/>
        <v>0</v>
      </c>
      <c r="BD120" s="39">
        <f t="shared" si="106"/>
        <v>0</v>
      </c>
      <c r="BE120" s="39">
        <v>0</v>
      </c>
      <c r="BF120" s="39">
        <f>120</f>
        <v>120</v>
      </c>
      <c r="BH120" s="39">
        <f t="shared" si="107"/>
        <v>0</v>
      </c>
      <c r="BI120" s="39">
        <f t="shared" si="108"/>
        <v>0</v>
      </c>
      <c r="BJ120" s="39">
        <f t="shared" si="109"/>
        <v>0</v>
      </c>
      <c r="BK120" s="39"/>
      <c r="BL120" s="39">
        <v>0</v>
      </c>
      <c r="BW120" s="39">
        <v>21</v>
      </c>
      <c r="BX120" s="1" t="s">
        <v>435</v>
      </c>
    </row>
    <row r="121" spans="1:76" x14ac:dyDescent="0.25">
      <c r="A121" s="58" t="s">
        <v>436</v>
      </c>
      <c r="B121" s="44" t="s">
        <v>437</v>
      </c>
      <c r="C121" s="157" t="s">
        <v>438</v>
      </c>
      <c r="D121" s="158"/>
      <c r="E121" s="44" t="s">
        <v>127</v>
      </c>
      <c r="F121" s="45">
        <v>1</v>
      </c>
      <c r="G121" s="45">
        <v>0</v>
      </c>
      <c r="H121" s="45">
        <f t="shared" si="88"/>
        <v>0</v>
      </c>
      <c r="I121" s="45">
        <f t="shared" si="89"/>
        <v>0</v>
      </c>
      <c r="J121" s="45">
        <f t="shared" si="90"/>
        <v>0</v>
      </c>
      <c r="K121" s="59" t="s">
        <v>4</v>
      </c>
      <c r="Z121" s="39">
        <f t="shared" si="91"/>
        <v>0</v>
      </c>
      <c r="AB121" s="39">
        <f t="shared" si="92"/>
        <v>0</v>
      </c>
      <c r="AC121" s="39">
        <f t="shared" si="93"/>
        <v>0</v>
      </c>
      <c r="AD121" s="39">
        <f t="shared" si="94"/>
        <v>0</v>
      </c>
      <c r="AE121" s="39">
        <f t="shared" si="95"/>
        <v>0</v>
      </c>
      <c r="AF121" s="39">
        <f t="shared" si="96"/>
        <v>0</v>
      </c>
      <c r="AG121" s="39">
        <f t="shared" si="97"/>
        <v>0</v>
      </c>
      <c r="AH121" s="39">
        <f t="shared" si="98"/>
        <v>0</v>
      </c>
      <c r="AI121" s="30" t="s">
        <v>4</v>
      </c>
      <c r="AJ121" s="39">
        <f t="shared" si="99"/>
        <v>0</v>
      </c>
      <c r="AK121" s="39">
        <f t="shared" si="100"/>
        <v>0</v>
      </c>
      <c r="AL121" s="39">
        <f t="shared" si="101"/>
        <v>0</v>
      </c>
      <c r="AN121" s="39">
        <v>21</v>
      </c>
      <c r="AO121" s="39">
        <f>G121*0</f>
        <v>0</v>
      </c>
      <c r="AP121" s="39">
        <f>G121*(1-0)</f>
        <v>0</v>
      </c>
      <c r="AQ121" s="40" t="s">
        <v>115</v>
      </c>
      <c r="AV121" s="39">
        <f t="shared" si="102"/>
        <v>0</v>
      </c>
      <c r="AW121" s="39">
        <f t="shared" si="103"/>
        <v>0</v>
      </c>
      <c r="AX121" s="39">
        <f t="shared" si="104"/>
        <v>0</v>
      </c>
      <c r="AY121" s="40" t="s">
        <v>420</v>
      </c>
      <c r="AZ121" s="40" t="s">
        <v>420</v>
      </c>
      <c r="BA121" s="30" t="s">
        <v>123</v>
      </c>
      <c r="BC121" s="39">
        <f t="shared" si="105"/>
        <v>0</v>
      </c>
      <c r="BD121" s="39">
        <f t="shared" si="106"/>
        <v>0</v>
      </c>
      <c r="BE121" s="39">
        <v>0</v>
      </c>
      <c r="BF121" s="39">
        <f>121</f>
        <v>121</v>
      </c>
      <c r="BH121" s="39">
        <f t="shared" si="107"/>
        <v>0</v>
      </c>
      <c r="BI121" s="39">
        <f t="shared" si="108"/>
        <v>0</v>
      </c>
      <c r="BJ121" s="39">
        <f t="shared" si="109"/>
        <v>0</v>
      </c>
      <c r="BK121" s="39"/>
      <c r="BL121" s="39">
        <v>0</v>
      </c>
      <c r="BW121" s="39">
        <v>21</v>
      </c>
      <c r="BX121" s="1" t="s">
        <v>438</v>
      </c>
    </row>
    <row r="122" spans="1:76" x14ac:dyDescent="0.25">
      <c r="A122" s="58" t="s">
        <v>439</v>
      </c>
      <c r="B122" s="44" t="s">
        <v>440</v>
      </c>
      <c r="C122" s="157" t="s">
        <v>441</v>
      </c>
      <c r="D122" s="158"/>
      <c r="E122" s="44" t="s">
        <v>127</v>
      </c>
      <c r="F122" s="45">
        <v>1</v>
      </c>
      <c r="G122" s="45">
        <v>0</v>
      </c>
      <c r="H122" s="45">
        <f t="shared" si="88"/>
        <v>0</v>
      </c>
      <c r="I122" s="45">
        <f t="shared" si="89"/>
        <v>0</v>
      </c>
      <c r="J122" s="45">
        <f t="shared" si="90"/>
        <v>0</v>
      </c>
      <c r="K122" s="59" t="s">
        <v>4</v>
      </c>
      <c r="Z122" s="39">
        <f t="shared" si="91"/>
        <v>0</v>
      </c>
      <c r="AB122" s="39">
        <f t="shared" si="92"/>
        <v>0</v>
      </c>
      <c r="AC122" s="39">
        <f t="shared" si="93"/>
        <v>0</v>
      </c>
      <c r="AD122" s="39">
        <f t="shared" si="94"/>
        <v>0</v>
      </c>
      <c r="AE122" s="39">
        <f t="shared" si="95"/>
        <v>0</v>
      </c>
      <c r="AF122" s="39">
        <f t="shared" si="96"/>
        <v>0</v>
      </c>
      <c r="AG122" s="39">
        <f t="shared" si="97"/>
        <v>0</v>
      </c>
      <c r="AH122" s="39">
        <f t="shared" si="98"/>
        <v>0</v>
      </c>
      <c r="AI122" s="30" t="s">
        <v>4</v>
      </c>
      <c r="AJ122" s="39">
        <f t="shared" si="99"/>
        <v>0</v>
      </c>
      <c r="AK122" s="39">
        <f t="shared" si="100"/>
        <v>0</v>
      </c>
      <c r="AL122" s="39">
        <f t="shared" si="101"/>
        <v>0</v>
      </c>
      <c r="AN122" s="39">
        <v>21</v>
      </c>
      <c r="AO122" s="39">
        <f>G122*0</f>
        <v>0</v>
      </c>
      <c r="AP122" s="39">
        <f>G122*(1-0)</f>
        <v>0</v>
      </c>
      <c r="AQ122" s="40" t="s">
        <v>115</v>
      </c>
      <c r="AV122" s="39">
        <f t="shared" si="102"/>
        <v>0</v>
      </c>
      <c r="AW122" s="39">
        <f t="shared" si="103"/>
        <v>0</v>
      </c>
      <c r="AX122" s="39">
        <f t="shared" si="104"/>
        <v>0</v>
      </c>
      <c r="AY122" s="40" t="s">
        <v>420</v>
      </c>
      <c r="AZ122" s="40" t="s">
        <v>420</v>
      </c>
      <c r="BA122" s="30" t="s">
        <v>123</v>
      </c>
      <c r="BC122" s="39">
        <f t="shared" si="105"/>
        <v>0</v>
      </c>
      <c r="BD122" s="39">
        <f t="shared" si="106"/>
        <v>0</v>
      </c>
      <c r="BE122" s="39">
        <v>0</v>
      </c>
      <c r="BF122" s="39">
        <f>122</f>
        <v>122</v>
      </c>
      <c r="BH122" s="39">
        <f t="shared" si="107"/>
        <v>0</v>
      </c>
      <c r="BI122" s="39">
        <f t="shared" si="108"/>
        <v>0</v>
      </c>
      <c r="BJ122" s="39">
        <f t="shared" si="109"/>
        <v>0</v>
      </c>
      <c r="BK122" s="39"/>
      <c r="BL122" s="39">
        <v>0</v>
      </c>
      <c r="BW122" s="39">
        <v>21</v>
      </c>
      <c r="BX122" s="1" t="s">
        <v>441</v>
      </c>
    </row>
    <row r="123" spans="1:76" x14ac:dyDescent="0.25">
      <c r="A123" s="58" t="s">
        <v>442</v>
      </c>
      <c r="B123" s="44" t="s">
        <v>443</v>
      </c>
      <c r="C123" s="157" t="s">
        <v>444</v>
      </c>
      <c r="D123" s="158"/>
      <c r="E123" s="44" t="s">
        <v>127</v>
      </c>
      <c r="F123" s="45">
        <v>1</v>
      </c>
      <c r="G123" s="45">
        <v>0</v>
      </c>
      <c r="H123" s="45">
        <f t="shared" si="88"/>
        <v>0</v>
      </c>
      <c r="I123" s="45">
        <f t="shared" si="89"/>
        <v>0</v>
      </c>
      <c r="J123" s="45">
        <f t="shared" si="90"/>
        <v>0</v>
      </c>
      <c r="K123" s="59" t="s">
        <v>4</v>
      </c>
      <c r="Z123" s="39">
        <f t="shared" si="91"/>
        <v>0</v>
      </c>
      <c r="AB123" s="39">
        <f t="shared" si="92"/>
        <v>0</v>
      </c>
      <c r="AC123" s="39">
        <f t="shared" si="93"/>
        <v>0</v>
      </c>
      <c r="AD123" s="39">
        <f t="shared" si="94"/>
        <v>0</v>
      </c>
      <c r="AE123" s="39">
        <f t="shared" si="95"/>
        <v>0</v>
      </c>
      <c r="AF123" s="39">
        <f t="shared" si="96"/>
        <v>0</v>
      </c>
      <c r="AG123" s="39">
        <f t="shared" si="97"/>
        <v>0</v>
      </c>
      <c r="AH123" s="39">
        <f t="shared" si="98"/>
        <v>0</v>
      </c>
      <c r="AI123" s="30" t="s">
        <v>4</v>
      </c>
      <c r="AJ123" s="39">
        <f t="shared" si="99"/>
        <v>0</v>
      </c>
      <c r="AK123" s="39">
        <f t="shared" si="100"/>
        <v>0</v>
      </c>
      <c r="AL123" s="39">
        <f t="shared" si="101"/>
        <v>0</v>
      </c>
      <c r="AN123" s="39">
        <v>21</v>
      </c>
      <c r="AO123" s="39">
        <f>G123*0</f>
        <v>0</v>
      </c>
      <c r="AP123" s="39">
        <f>G123*(1-0)</f>
        <v>0</v>
      </c>
      <c r="AQ123" s="40" t="s">
        <v>115</v>
      </c>
      <c r="AV123" s="39">
        <f t="shared" si="102"/>
        <v>0</v>
      </c>
      <c r="AW123" s="39">
        <f t="shared" si="103"/>
        <v>0</v>
      </c>
      <c r="AX123" s="39">
        <f t="shared" si="104"/>
        <v>0</v>
      </c>
      <c r="AY123" s="40" t="s">
        <v>420</v>
      </c>
      <c r="AZ123" s="40" t="s">
        <v>420</v>
      </c>
      <c r="BA123" s="30" t="s">
        <v>123</v>
      </c>
      <c r="BC123" s="39">
        <f t="shared" si="105"/>
        <v>0</v>
      </c>
      <c r="BD123" s="39">
        <f t="shared" si="106"/>
        <v>0</v>
      </c>
      <c r="BE123" s="39">
        <v>0</v>
      </c>
      <c r="BF123" s="39">
        <f>123</f>
        <v>123</v>
      </c>
      <c r="BH123" s="39">
        <f t="shared" si="107"/>
        <v>0</v>
      </c>
      <c r="BI123" s="39">
        <f t="shared" si="108"/>
        <v>0</v>
      </c>
      <c r="BJ123" s="39">
        <f t="shared" si="109"/>
        <v>0</v>
      </c>
      <c r="BK123" s="39"/>
      <c r="BL123" s="39">
        <v>0</v>
      </c>
      <c r="BW123" s="39">
        <v>21</v>
      </c>
      <c r="BX123" s="1" t="s">
        <v>444</v>
      </c>
    </row>
    <row r="124" spans="1:76" x14ac:dyDescent="0.25">
      <c r="A124" s="66"/>
      <c r="B124" s="51"/>
      <c r="C124" s="51"/>
      <c r="D124" s="51"/>
      <c r="E124" s="51"/>
      <c r="F124" s="51"/>
      <c r="G124" s="51"/>
      <c r="H124" s="156" t="s">
        <v>445</v>
      </c>
      <c r="I124" s="156"/>
      <c r="J124" s="52">
        <f>J12+J35+J66+J93+J110+J114</f>
        <v>0</v>
      </c>
      <c r="K124" s="67"/>
    </row>
    <row r="125" spans="1:76" ht="15.75" thickBot="1" x14ac:dyDescent="0.3">
      <c r="A125" s="68" t="s">
        <v>57</v>
      </c>
      <c r="B125" s="69"/>
      <c r="C125" s="69"/>
      <c r="D125" s="69"/>
      <c r="E125" s="69"/>
      <c r="F125" s="69"/>
      <c r="G125" s="69"/>
      <c r="H125" s="69"/>
      <c r="I125" s="69"/>
      <c r="J125" s="69"/>
      <c r="K125" s="70"/>
    </row>
    <row r="126" spans="1:76" ht="94.5" customHeight="1" x14ac:dyDescent="0.25">
      <c r="A126" s="85" t="s">
        <v>58</v>
      </c>
      <c r="B126" s="86"/>
      <c r="C126" s="86"/>
      <c r="D126" s="86"/>
      <c r="E126" s="86"/>
      <c r="F126" s="86"/>
      <c r="G126" s="86"/>
      <c r="H126" s="86"/>
      <c r="I126" s="86"/>
      <c r="J126" s="86"/>
      <c r="K126" s="86"/>
    </row>
  </sheetData>
  <mergeCells count="138">
    <mergeCell ref="G8:G9"/>
    <mergeCell ref="A1:K1"/>
    <mergeCell ref="A2:B3"/>
    <mergeCell ref="A4:B5"/>
    <mergeCell ref="A6:B7"/>
    <mergeCell ref="A8:B9"/>
    <mergeCell ref="E2:F3"/>
    <mergeCell ref="E4:F5"/>
    <mergeCell ref="E6:F7"/>
    <mergeCell ref="E8:F9"/>
    <mergeCell ref="H2:H3"/>
    <mergeCell ref="H4:H5"/>
    <mergeCell ref="H6:H7"/>
    <mergeCell ref="H8:H9"/>
    <mergeCell ref="C2:D3"/>
    <mergeCell ref="C4:D5"/>
    <mergeCell ref="C6:D7"/>
    <mergeCell ref="I2:K3"/>
    <mergeCell ref="I4:K5"/>
    <mergeCell ref="I6:K7"/>
    <mergeCell ref="I8:K9"/>
    <mergeCell ref="C8:D9"/>
    <mergeCell ref="G2:G3"/>
    <mergeCell ref="G4:G5"/>
    <mergeCell ref="G6:G7"/>
    <mergeCell ref="C20:D20"/>
    <mergeCell ref="C21:D21"/>
    <mergeCell ref="C11:D11"/>
    <mergeCell ref="H10:J10"/>
    <mergeCell ref="C12:D12"/>
    <mergeCell ref="C13:D13"/>
    <mergeCell ref="C14:D14"/>
    <mergeCell ref="C28:D28"/>
    <mergeCell ref="C29:D29"/>
    <mergeCell ref="C10:D10"/>
    <mergeCell ref="C16:D16"/>
    <mergeCell ref="C18:D18"/>
    <mergeCell ref="C19:D19"/>
    <mergeCell ref="C31:D31"/>
    <mergeCell ref="C32:D32"/>
    <mergeCell ref="C33:D33"/>
    <mergeCell ref="C22:D22"/>
    <mergeCell ref="C23:D23"/>
    <mergeCell ref="C24:D24"/>
    <mergeCell ref="C25:D25"/>
    <mergeCell ref="C27:D27"/>
    <mergeCell ref="C39:D39"/>
    <mergeCell ref="C40:D40"/>
    <mergeCell ref="C41:D41"/>
    <mergeCell ref="C42:D42"/>
    <mergeCell ref="C43:D43"/>
    <mergeCell ref="C34:D34"/>
    <mergeCell ref="C35:D35"/>
    <mergeCell ref="C36:D36"/>
    <mergeCell ref="C37:D37"/>
    <mergeCell ref="C38:D38"/>
    <mergeCell ref="C49:D49"/>
    <mergeCell ref="C50:D50"/>
    <mergeCell ref="C51:D51"/>
    <mergeCell ref="C52:D52"/>
    <mergeCell ref="C53:D53"/>
    <mergeCell ref="C44:D44"/>
    <mergeCell ref="C45:D45"/>
    <mergeCell ref="C46:D46"/>
    <mergeCell ref="C47:D47"/>
    <mergeCell ref="C48:D48"/>
    <mergeCell ref="C59:D59"/>
    <mergeCell ref="C60:D60"/>
    <mergeCell ref="C61:D61"/>
    <mergeCell ref="C62:D62"/>
    <mergeCell ref="C63:D63"/>
    <mergeCell ref="C54:D54"/>
    <mergeCell ref="C55:D55"/>
    <mergeCell ref="C56:D56"/>
    <mergeCell ref="C57:D57"/>
    <mergeCell ref="C58:D58"/>
    <mergeCell ref="C69:D69"/>
    <mergeCell ref="C70:D70"/>
    <mergeCell ref="C71:D71"/>
    <mergeCell ref="C72:D72"/>
    <mergeCell ref="C73:D73"/>
    <mergeCell ref="C64:D64"/>
    <mergeCell ref="C65:D65"/>
    <mergeCell ref="C66:D66"/>
    <mergeCell ref="C67:D67"/>
    <mergeCell ref="C68:D68"/>
    <mergeCell ref="C79:D79"/>
    <mergeCell ref="C80:D80"/>
    <mergeCell ref="C81:D81"/>
    <mergeCell ref="C82:D82"/>
    <mergeCell ref="C83:D83"/>
    <mergeCell ref="C74:D74"/>
    <mergeCell ref="C75:D75"/>
    <mergeCell ref="C76:D76"/>
    <mergeCell ref="C77:D77"/>
    <mergeCell ref="C78:D78"/>
    <mergeCell ref="C89:D89"/>
    <mergeCell ref="C90:D90"/>
    <mergeCell ref="C91:D91"/>
    <mergeCell ref="C92:D92"/>
    <mergeCell ref="C93:D93"/>
    <mergeCell ref="C84:D84"/>
    <mergeCell ref="C85:D85"/>
    <mergeCell ref="C86:D86"/>
    <mergeCell ref="C87:D87"/>
    <mergeCell ref="C88:D88"/>
    <mergeCell ref="C99:D99"/>
    <mergeCell ref="C100:D100"/>
    <mergeCell ref="C101:D101"/>
    <mergeCell ref="C102:D102"/>
    <mergeCell ref="C103:D103"/>
    <mergeCell ref="C94:D94"/>
    <mergeCell ref="C95:D95"/>
    <mergeCell ref="C96:D96"/>
    <mergeCell ref="C97:D97"/>
    <mergeCell ref="C98:D98"/>
    <mergeCell ref="C109:D109"/>
    <mergeCell ref="C110:D110"/>
    <mergeCell ref="C111:D111"/>
    <mergeCell ref="C112:D112"/>
    <mergeCell ref="C113:D113"/>
    <mergeCell ref="C104:D104"/>
    <mergeCell ref="C105:D105"/>
    <mergeCell ref="C106:D106"/>
    <mergeCell ref="C107:D107"/>
    <mergeCell ref="C108:D108"/>
    <mergeCell ref="H124:I124"/>
    <mergeCell ref="A126:K126"/>
    <mergeCell ref="C119:D119"/>
    <mergeCell ref="C120:D120"/>
    <mergeCell ref="C121:D121"/>
    <mergeCell ref="C122:D122"/>
    <mergeCell ref="C123:D123"/>
    <mergeCell ref="C114:D114"/>
    <mergeCell ref="C115:D115"/>
    <mergeCell ref="C116:D116"/>
    <mergeCell ref="C117:D117"/>
    <mergeCell ref="C118:D118"/>
  </mergeCells>
  <pageMargins left="0.393999993801117" right="0.393999993801117" top="0.59100002050399802" bottom="0.59100002050399802" header="0" footer="0"/>
  <pageSetup scale="67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Krycí list rozpočtu</vt:lpstr>
      <vt:lpstr>VORN</vt:lpstr>
      <vt:lpstr>Stavební rozpočet</vt:lpstr>
      <vt:lpstr>vorn_sum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Kateřina Janečková</cp:lastModifiedBy>
  <cp:lastPrinted>2024-10-30T14:04:33Z</cp:lastPrinted>
  <dcterms:created xsi:type="dcterms:W3CDTF">2021-06-10T20:06:38Z</dcterms:created>
  <dcterms:modified xsi:type="dcterms:W3CDTF">2025-08-01T06:01:26Z</dcterms:modified>
</cp:coreProperties>
</file>