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ystrongroupcz-my.sharepoint.com/personal/eva_kastovska_bystrongroup_cz/Documents/Plocha/"/>
    </mc:Choice>
  </mc:AlternateContent>
  <xr:revisionPtr revIDLastSave="67" documentId="8_{9038DABF-3A14-CD42-81FF-B261734E6AE5}" xr6:coauthVersionLast="45" xr6:coauthVersionMax="45" xr10:uidLastSave="{CDBE859F-2542-47FB-B4B5-0ECCE7277766}"/>
  <bookViews>
    <workbookView xWindow="-108" yWindow="-108" windowWidth="23256" windowHeight="12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OVN Pol" sheetId="12" r:id="rId4"/>
    <sheet name="01 SO 01 Pol" sheetId="13" r:id="rId5"/>
    <sheet name="01 SO 02 Pol" sheetId="14" r:id="rId6"/>
    <sheet name="01 SO 03 Pol" sheetId="15" r:id="rId7"/>
    <sheet name="01 SO 04 Pol" sheetId="16" r:id="rId8"/>
    <sheet name="01 SO 05 Pol" sheetId="17" r:id="rId9"/>
    <sheet name="Krycí list rozpočtu" sheetId="18" r:id="rId10"/>
    <sheet name="Stavební rozpočet" sheetId="19" r:id="rId11"/>
  </sheets>
  <externalReferences>
    <externalReference r:id="rId12"/>
    <externalReference r:id="rId13"/>
    <externalReference r:id="rId14"/>
  </externalReferences>
  <definedNames>
    <definedName name="_xlnm._FilterDatabase" localSheetId="3" hidden="1">'01 OVN Pol'!$A$8:$S$43</definedName>
    <definedName name="_xlnm._FilterDatabase" localSheetId="4" hidden="1">'01 SO 01 Pol'!$A$8:$S$267</definedName>
    <definedName name="_xlnm._FilterDatabase" localSheetId="5" hidden="1">'01 SO 02 Pol'!$A$8:$S$101</definedName>
    <definedName name="_xlnm._FilterDatabase" localSheetId="6" hidden="1">'01 SO 03 Pol'!$A$8:$S$43</definedName>
    <definedName name="_xlnm._FilterDatabase" localSheetId="7" hidden="1">'01 SO 04 Pol'!$A$8:$S$40</definedName>
    <definedName name="_xlnm._FilterDatabase" localSheetId="10" hidden="1">'Stavební rozpočet'!$A$12:$M$48</definedName>
    <definedName name="CelkemDPHVypocet" localSheetId="1">Stavba!$H$47</definedName>
    <definedName name="CenaCelkem">Stavba!$G$28</definedName>
    <definedName name="CenaCelkemBezDPH">Stavba!$G$27</definedName>
    <definedName name="CenaCelkemVypocet" localSheetId="1">Stavba!$I$47</definedName>
    <definedName name="cisloobjektu">Stavba!#REF!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Stavba!$D$3</definedName>
    <definedName name="dadresa">Stavba!$D$11:$G$11</definedName>
    <definedName name="DIČ" localSheetId="1">Stavba!$I$11</definedName>
    <definedName name="dmisto">Stavba!$E$12:$G$12</definedName>
    <definedName name="DPHSni">Stavba!$G$23</definedName>
    <definedName name="DPHZakl">Stavba!$G$25</definedName>
    <definedName name="dpsc" localSheetId="1">Stavba!$D$12</definedName>
    <definedName name="fgbjbfgjvg">#REF!</definedName>
    <definedName name="fgjgjfg">[2]Stavba!$J$28</definedName>
    <definedName name="fgkgf">[2]Stavba!$G$24</definedName>
    <definedName name="fjfgf">#REF!</definedName>
    <definedName name="fjfgjgf">[2]Stavba!#REF!</definedName>
    <definedName name="fjg">[2]Stavba!$G$25</definedName>
    <definedName name="fjgfj">#REF!</definedName>
    <definedName name="fjgfjf">#REF!</definedName>
    <definedName name="fjgjg">#REF!</definedName>
    <definedName name="gffgjbfgjbgf">'[1]Krycí list'!$A$5</definedName>
    <definedName name="gfjbfgbjfg">'[1]Krycí list'!$C$5</definedName>
    <definedName name="gfjgf">#REF!</definedName>
    <definedName name="ghjn">[3]Stavba!#REF!</definedName>
    <definedName name="ghjnghjn">[3]Stavba!#REF!</definedName>
    <definedName name="ghjnh">#REF!</definedName>
    <definedName name="ghjnhg">#REF!</definedName>
    <definedName name="ghjnhgjnh">#REF!</definedName>
    <definedName name="ghjnhgnj">[3]Stavba!$G$23</definedName>
    <definedName name="ghjnhn">[3]Stavba!$G$25</definedName>
    <definedName name="ghnjhg">[3]Stavba!$J$28</definedName>
    <definedName name="gjfvdvfh">#REF!</definedName>
    <definedName name="gnjhgnjh">#REF!</definedName>
    <definedName name="hfchf">[2]Stavba!$G$28</definedName>
    <definedName name="hgjnhgj">#REF!</definedName>
    <definedName name="hgjnhjngh">[3]Stavba!$G$22</definedName>
    <definedName name="hjnhnjghjn">[3]Stavba!$G$28</definedName>
    <definedName name="hkmugmgu">[3]Stavba!$G$24</definedName>
    <definedName name="IČO" localSheetId="1">Stavba!$I$10</definedName>
    <definedName name="jffgjfgj">[2]Stavba!$G$22</definedName>
    <definedName name="jfg">[2]Stavba!$G$23</definedName>
    <definedName name="jgfjfgj">[2]Stavba!#REF!</definedName>
    <definedName name="jjjg">#REF!</definedName>
    <definedName name="Mena">Stavba!$J$28</definedName>
    <definedName name="MistoStavby">Stavba!$D$3</definedName>
    <definedName name="nazevobjektu">Stavba!#REF!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Stavba!$E$3</definedName>
    <definedName name="_xlnm.Print_Titles" localSheetId="3">'01 OVN Pol'!$1:$7</definedName>
    <definedName name="_xlnm.Print_Titles" localSheetId="4">'01 SO 01 Pol'!$1:$7</definedName>
    <definedName name="_xlnm.Print_Titles" localSheetId="5">'01 SO 02 Pol'!$1:$7</definedName>
    <definedName name="_xlnm.Print_Titles" localSheetId="6">'01 SO 03 Pol'!$1:$7</definedName>
    <definedName name="_xlnm.Print_Titles" localSheetId="7">'01 SO 04 Pol'!$1:$7</definedName>
    <definedName name="_xlnm.Print_Titles" localSheetId="8">'01 SO 05 Pol'!$1:$7</definedName>
    <definedName name="nghjnghj">#REF!</definedName>
    <definedName name="oadresa">Stavba!$D$5</definedName>
    <definedName name="Objednatel" localSheetId="1">Stavba!$D$4</definedName>
    <definedName name="Objekt" localSheetId="1">Stavba!$B$37</definedName>
    <definedName name="_xlnm.Print_Area" localSheetId="3">'01 OVN Pol'!$A$1:$W$46</definedName>
    <definedName name="_xlnm.Print_Area" localSheetId="4">'01 SO 01 Pol'!$A$1:$W$270</definedName>
    <definedName name="_xlnm.Print_Area" localSheetId="5">'01 SO 02 Pol'!$A$1:$W$104</definedName>
    <definedName name="_xlnm.Print_Area" localSheetId="6">'01 SO 03 Pol'!$A$1:$W$46</definedName>
    <definedName name="_xlnm.Print_Area" localSheetId="7">'01 SO 04 Pol'!$A$1:$W$43</definedName>
    <definedName name="_xlnm.Print_Area" localSheetId="8">'01 SO 05 Pol'!$A$1:$W$12</definedName>
    <definedName name="_xlnm.Print_Area" localSheetId="1">Stavba!$A$1:$J$75</definedName>
    <definedName name="odic" localSheetId="1">Stavba!$I$5</definedName>
    <definedName name="oico" localSheetId="1">Stavba!$I$4</definedName>
    <definedName name="omisto" localSheetId="1">Stavba!$E$6</definedName>
    <definedName name="onazev" localSheetId="1">Stavba!$D$5</definedName>
    <definedName name="opsc" localSheetId="1">Stavba!$D$6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rtvhgfhdv">#REF!</definedName>
    <definedName name="SazbaDPH1" localSheetId="1">Stavba!$E$22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hvdthvd">#REF!</definedName>
    <definedName name="trvhdrhvrth">#REF!</definedName>
    <definedName name="trvhvhthv">#REF!</definedName>
    <definedName name="vtvhdfvh">#REF!</definedName>
    <definedName name="Vypracoval">Stavba!$D$13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Stavba!$G$22</definedName>
    <definedName name="ZakladDPHSniVypocet" localSheetId="1">Stavba!$F$47</definedName>
    <definedName name="ZakladDPHZakl">Stavba!$G$24</definedName>
    <definedName name="ZakladDPHZaklVypocet" localSheetId="1">Stavba!$G$47</definedName>
    <definedName name="ZaObjednatele">Stavba!$G$33</definedName>
    <definedName name="Zaokrouhleni">Stavba!$G$26</definedName>
    <definedName name="ZaZhotovitele">Stavba!$D$33</definedName>
    <definedName name="Zhotovitel">Stavba!$D$10:$G$10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6" i="19" l="1"/>
  <c r="AE46" i="19"/>
  <c r="H46" i="19" s="1"/>
  <c r="AA46" i="19"/>
  <c r="Z46" i="19"/>
  <c r="O46" i="19"/>
  <c r="L46" i="19"/>
  <c r="J46" i="19"/>
  <c r="AB46" i="19" s="1"/>
  <c r="AF45" i="19"/>
  <c r="AE45" i="19"/>
  <c r="H45" i="19" s="1"/>
  <c r="AA45" i="19"/>
  <c r="Z45" i="19"/>
  <c r="O45" i="19"/>
  <c r="L45" i="19"/>
  <c r="J45" i="19"/>
  <c r="AB45" i="19" s="1"/>
  <c r="AF44" i="19"/>
  <c r="AE44" i="19"/>
  <c r="H44" i="19" s="1"/>
  <c r="AA44" i="19"/>
  <c r="Z44" i="19"/>
  <c r="O44" i="19"/>
  <c r="L44" i="19"/>
  <c r="J44" i="19"/>
  <c r="AB44" i="19" s="1"/>
  <c r="AF43" i="19"/>
  <c r="AE43" i="19"/>
  <c r="H43" i="19" s="1"/>
  <c r="AA43" i="19"/>
  <c r="Z43" i="19"/>
  <c r="O43" i="19"/>
  <c r="L43" i="19"/>
  <c r="J43" i="19"/>
  <c r="AB43" i="19" s="1"/>
  <c r="AF42" i="19"/>
  <c r="AE42" i="19"/>
  <c r="H42" i="19" s="1"/>
  <c r="AA42" i="19"/>
  <c r="Z42" i="19"/>
  <c r="O42" i="19"/>
  <c r="L42" i="19"/>
  <c r="J42" i="19"/>
  <c r="AB42" i="19" s="1"/>
  <c r="AF41" i="19"/>
  <c r="AE41" i="19"/>
  <c r="H41" i="19" s="1"/>
  <c r="AA41" i="19"/>
  <c r="Z41" i="19"/>
  <c r="O41" i="19"/>
  <c r="L41" i="19"/>
  <c r="J41" i="19"/>
  <c r="AB41" i="19" s="1"/>
  <c r="AF40" i="19"/>
  <c r="AE40" i="19"/>
  <c r="H40" i="19" s="1"/>
  <c r="AA40" i="19"/>
  <c r="Z40" i="19"/>
  <c r="O40" i="19"/>
  <c r="L40" i="19"/>
  <c r="J40" i="19"/>
  <c r="AB40" i="19" s="1"/>
  <c r="AF39" i="19"/>
  <c r="AE39" i="19"/>
  <c r="H39" i="19" s="1"/>
  <c r="AA39" i="19"/>
  <c r="Z39" i="19"/>
  <c r="O39" i="19"/>
  <c r="L39" i="19"/>
  <c r="J39" i="19"/>
  <c r="AB39" i="19" s="1"/>
  <c r="AF38" i="19"/>
  <c r="AE38" i="19"/>
  <c r="H38" i="19" s="1"/>
  <c r="AA38" i="19"/>
  <c r="Z38" i="19"/>
  <c r="O38" i="19"/>
  <c r="L38" i="19"/>
  <c r="J38" i="19"/>
  <c r="AB38" i="19" s="1"/>
  <c r="AF37" i="19"/>
  <c r="AE37" i="19"/>
  <c r="H37" i="19" s="1"/>
  <c r="AA37" i="19"/>
  <c r="Z37" i="19"/>
  <c r="O37" i="19"/>
  <c r="L37" i="19"/>
  <c r="J37" i="19"/>
  <c r="X36" i="19"/>
  <c r="U36" i="19"/>
  <c r="T36" i="19"/>
  <c r="S36" i="19"/>
  <c r="R36" i="19"/>
  <c r="AF35" i="19"/>
  <c r="AE35" i="19"/>
  <c r="H35" i="19" s="1"/>
  <c r="AA35" i="19"/>
  <c r="Z35" i="19"/>
  <c r="O35" i="19"/>
  <c r="L35" i="19"/>
  <c r="J35" i="19"/>
  <c r="AF34" i="19"/>
  <c r="AE34" i="19"/>
  <c r="H34" i="19" s="1"/>
  <c r="AA34" i="19"/>
  <c r="Z34" i="19"/>
  <c r="O34" i="19"/>
  <c r="L34" i="19"/>
  <c r="J34" i="19"/>
  <c r="AB34" i="19" s="1"/>
  <c r="AF33" i="19"/>
  <c r="AE33" i="19"/>
  <c r="H33" i="19" s="1"/>
  <c r="AA33" i="19"/>
  <c r="Z33" i="19"/>
  <c r="O33" i="19"/>
  <c r="L33" i="19"/>
  <c r="J33" i="19"/>
  <c r="AB33" i="19" s="1"/>
  <c r="AF32" i="19"/>
  <c r="AE32" i="19"/>
  <c r="H32" i="19" s="1"/>
  <c r="AA32" i="19"/>
  <c r="Z32" i="19"/>
  <c r="O32" i="19"/>
  <c r="L32" i="19"/>
  <c r="J32" i="19"/>
  <c r="AB32" i="19" s="1"/>
  <c r="AF31" i="19"/>
  <c r="AE31" i="19"/>
  <c r="H31" i="19" s="1"/>
  <c r="AA31" i="19"/>
  <c r="Z31" i="19"/>
  <c r="O31" i="19"/>
  <c r="L31" i="19"/>
  <c r="J31" i="19"/>
  <c r="AB31" i="19" s="1"/>
  <c r="AF30" i="19"/>
  <c r="AE30" i="19"/>
  <c r="H30" i="19" s="1"/>
  <c r="AA30" i="19"/>
  <c r="Z30" i="19"/>
  <c r="O30" i="19"/>
  <c r="L30" i="19"/>
  <c r="J30" i="19"/>
  <c r="AB30" i="19" s="1"/>
  <c r="AF29" i="19"/>
  <c r="AE29" i="19"/>
  <c r="H29" i="19" s="1"/>
  <c r="AA29" i="19"/>
  <c r="Z29" i="19"/>
  <c r="O29" i="19"/>
  <c r="L29" i="19"/>
  <c r="J29" i="19"/>
  <c r="AB29" i="19" s="1"/>
  <c r="AF28" i="19"/>
  <c r="AE28" i="19"/>
  <c r="H28" i="19" s="1"/>
  <c r="AA28" i="19"/>
  <c r="Z28" i="19"/>
  <c r="O28" i="19"/>
  <c r="L28" i="19"/>
  <c r="J28" i="19"/>
  <c r="AB28" i="19" s="1"/>
  <c r="AF27" i="19"/>
  <c r="AE27" i="19"/>
  <c r="H27" i="19" s="1"/>
  <c r="AA27" i="19"/>
  <c r="Z27" i="19"/>
  <c r="O27" i="19"/>
  <c r="L27" i="19"/>
  <c r="J27" i="19"/>
  <c r="AF26" i="19"/>
  <c r="AE26" i="19"/>
  <c r="H26" i="19" s="1"/>
  <c r="AA26" i="19"/>
  <c r="Z26" i="19"/>
  <c r="O26" i="19"/>
  <c r="L26" i="19"/>
  <c r="J26" i="19"/>
  <c r="AB26" i="19" s="1"/>
  <c r="AF25" i="19"/>
  <c r="AE25" i="19"/>
  <c r="H25" i="19" s="1"/>
  <c r="AA25" i="19"/>
  <c r="Z25" i="19"/>
  <c r="O25" i="19"/>
  <c r="L25" i="19"/>
  <c r="J25" i="19"/>
  <c r="AB25" i="19" s="1"/>
  <c r="AF24" i="19"/>
  <c r="AE24" i="19"/>
  <c r="H24" i="19" s="1"/>
  <c r="AA24" i="19"/>
  <c r="Z24" i="19"/>
  <c r="O24" i="19"/>
  <c r="L24" i="19"/>
  <c r="J24" i="19"/>
  <c r="AB24" i="19" s="1"/>
  <c r="AF23" i="19"/>
  <c r="AE23" i="19"/>
  <c r="H23" i="19" s="1"/>
  <c r="AA23" i="19"/>
  <c r="Z23" i="19"/>
  <c r="O23" i="19"/>
  <c r="L23" i="19"/>
  <c r="J23" i="19"/>
  <c r="AB23" i="19" s="1"/>
  <c r="AF22" i="19"/>
  <c r="AE22" i="19"/>
  <c r="H22" i="19" s="1"/>
  <c r="AA22" i="19"/>
  <c r="Z22" i="19"/>
  <c r="O22" i="19"/>
  <c r="L22" i="19"/>
  <c r="J22" i="19"/>
  <c r="AB22" i="19" s="1"/>
  <c r="AF21" i="19"/>
  <c r="AE21" i="19"/>
  <c r="H21" i="19" s="1"/>
  <c r="AA21" i="19"/>
  <c r="Z21" i="19"/>
  <c r="O21" i="19"/>
  <c r="L21" i="19"/>
  <c r="J21" i="19"/>
  <c r="AB21" i="19" s="1"/>
  <c r="AF20" i="19"/>
  <c r="AE20" i="19"/>
  <c r="H20" i="19" s="1"/>
  <c r="AA20" i="19"/>
  <c r="Z20" i="19"/>
  <c r="O20" i="19"/>
  <c r="L20" i="19"/>
  <c r="J20" i="19"/>
  <c r="AB20" i="19" s="1"/>
  <c r="X19" i="19"/>
  <c r="U19" i="19"/>
  <c r="T19" i="19"/>
  <c r="S19" i="19"/>
  <c r="R19" i="19"/>
  <c r="AF18" i="19"/>
  <c r="AE18" i="19"/>
  <c r="H18" i="19" s="1"/>
  <c r="AA18" i="19"/>
  <c r="Z18" i="19"/>
  <c r="O18" i="19"/>
  <c r="L18" i="19"/>
  <c r="J18" i="19"/>
  <c r="AB18" i="19" s="1"/>
  <c r="AF17" i="19"/>
  <c r="AE17" i="19"/>
  <c r="H17" i="19" s="1"/>
  <c r="AA17" i="19"/>
  <c r="Z17" i="19"/>
  <c r="O17" i="19"/>
  <c r="L17" i="19"/>
  <c r="J17" i="19"/>
  <c r="AB17" i="19" s="1"/>
  <c r="AF16" i="19"/>
  <c r="AE16" i="19"/>
  <c r="H16" i="19" s="1"/>
  <c r="AA16" i="19"/>
  <c r="Z16" i="19"/>
  <c r="O16" i="19"/>
  <c r="L16" i="19"/>
  <c r="J16" i="19"/>
  <c r="AF15" i="19"/>
  <c r="AE15" i="19"/>
  <c r="H15" i="19" s="1"/>
  <c r="AA15" i="19"/>
  <c r="Z15" i="19"/>
  <c r="O15" i="19"/>
  <c r="L15" i="19"/>
  <c r="J15" i="19"/>
  <c r="AF14" i="19"/>
  <c r="AE14" i="19"/>
  <c r="H14" i="19" s="1"/>
  <c r="AA14" i="19"/>
  <c r="Z14" i="19"/>
  <c r="O14" i="19"/>
  <c r="L14" i="19"/>
  <c r="J14" i="19"/>
  <c r="AB14" i="19" s="1"/>
  <c r="AF13" i="19"/>
  <c r="AE13" i="19"/>
  <c r="H13" i="19" s="1"/>
  <c r="AA13" i="19"/>
  <c r="Z13" i="19"/>
  <c r="O13" i="19"/>
  <c r="L13" i="19"/>
  <c r="J13" i="19"/>
  <c r="AB13" i="19" s="1"/>
  <c r="X12" i="19"/>
  <c r="W12" i="19"/>
  <c r="V12" i="19"/>
  <c r="U12" i="19"/>
  <c r="T12" i="19"/>
  <c r="I22" i="18"/>
  <c r="F22" i="18"/>
  <c r="I18" i="19" l="1"/>
  <c r="L36" i="19"/>
  <c r="I27" i="19"/>
  <c r="L12" i="19"/>
  <c r="AB27" i="19"/>
  <c r="I38" i="19"/>
  <c r="I15" i="19"/>
  <c r="I37" i="19"/>
  <c r="I44" i="19"/>
  <c r="I14" i="19"/>
  <c r="AB15" i="19"/>
  <c r="I16" i="19"/>
  <c r="I22" i="19"/>
  <c r="L19" i="19"/>
  <c r="I46" i="19"/>
  <c r="I42" i="19"/>
  <c r="I45" i="19"/>
  <c r="AJ36" i="19"/>
  <c r="I43" i="19"/>
  <c r="I41" i="19"/>
  <c r="P36" i="19"/>
  <c r="I40" i="19"/>
  <c r="AI36" i="19"/>
  <c r="I39" i="19"/>
  <c r="H36" i="19"/>
  <c r="V36" i="19" s="1"/>
  <c r="AB37" i="19"/>
  <c r="AK36" i="19" s="1"/>
  <c r="I35" i="19"/>
  <c r="AB35" i="19"/>
  <c r="I34" i="19"/>
  <c r="I31" i="19"/>
  <c r="AI19" i="19"/>
  <c r="I30" i="19"/>
  <c r="P19" i="19"/>
  <c r="C17" i="18"/>
  <c r="I26" i="19"/>
  <c r="C20" i="18"/>
  <c r="AJ19" i="19"/>
  <c r="I23" i="19"/>
  <c r="C16" i="18"/>
  <c r="C27" i="18"/>
  <c r="P12" i="19"/>
  <c r="AB16" i="19"/>
  <c r="H12" i="19"/>
  <c r="R12" i="19" s="1"/>
  <c r="C14" i="18" s="1"/>
  <c r="AA47" i="19"/>
  <c r="C28" i="18"/>
  <c r="F28" i="18" s="1"/>
  <c r="AI12" i="19"/>
  <c r="H19" i="19"/>
  <c r="I13" i="19"/>
  <c r="I17" i="19"/>
  <c r="Z47" i="19"/>
  <c r="AJ12" i="19"/>
  <c r="I21" i="19"/>
  <c r="I25" i="19"/>
  <c r="I29" i="19"/>
  <c r="I33" i="19"/>
  <c r="I20" i="19"/>
  <c r="I24" i="19"/>
  <c r="I28" i="19"/>
  <c r="I32" i="19"/>
  <c r="AK19" i="19" l="1"/>
  <c r="I12" i="19"/>
  <c r="J12" i="19" s="1"/>
  <c r="C29" i="18"/>
  <c r="F29" i="18" s="1"/>
  <c r="I36" i="19"/>
  <c r="J36" i="19" s="1"/>
  <c r="C21" i="18"/>
  <c r="S12" i="19"/>
  <c r="C15" i="18" s="1"/>
  <c r="AK12" i="19"/>
  <c r="AB47" i="19"/>
  <c r="V19" i="19"/>
  <c r="C18" i="18" s="1"/>
  <c r="I19" i="19"/>
  <c r="W19" i="19" s="1"/>
  <c r="I28" i="18" l="1"/>
  <c r="F9" i="17" s="1"/>
  <c r="W36" i="19"/>
  <c r="C19" i="18" s="1"/>
  <c r="C22" i="18" s="1"/>
  <c r="I29" i="18"/>
  <c r="J19" i="19"/>
  <c r="J47" i="19" s="1"/>
  <c r="G9" i="17" l="1"/>
  <c r="M9" i="17" s="1"/>
  <c r="M8" i="17" s="1"/>
  <c r="I9" i="17"/>
  <c r="I8" i="17" s="1"/>
  <c r="K9" i="17"/>
  <c r="K8" i="17" s="1"/>
  <c r="O9" i="17"/>
  <c r="O8" i="17" s="1"/>
  <c r="Q9" i="17"/>
  <c r="Q8" i="17" s="1"/>
  <c r="U9" i="17"/>
  <c r="U8" i="17" s="1"/>
  <c r="AD11" i="17"/>
  <c r="AZ40" i="16"/>
  <c r="AZ37" i="16"/>
  <c r="AZ30" i="16"/>
  <c r="AZ28" i="16"/>
  <c r="AZ25" i="16"/>
  <c r="AZ17" i="16"/>
  <c r="AZ14" i="16"/>
  <c r="AZ10" i="16"/>
  <c r="G9" i="16"/>
  <c r="M9" i="16" s="1"/>
  <c r="I9" i="16"/>
  <c r="K9" i="16"/>
  <c r="O9" i="16"/>
  <c r="Q9" i="16"/>
  <c r="U9" i="16"/>
  <c r="G11" i="16"/>
  <c r="I11" i="16"/>
  <c r="K11" i="16"/>
  <c r="O11" i="16"/>
  <c r="Q11" i="16"/>
  <c r="U11" i="16"/>
  <c r="G12" i="16"/>
  <c r="M12" i="16" s="1"/>
  <c r="I12" i="16"/>
  <c r="K12" i="16"/>
  <c r="O12" i="16"/>
  <c r="Q12" i="16"/>
  <c r="U12" i="16"/>
  <c r="G13" i="16"/>
  <c r="M13" i="16" s="1"/>
  <c r="I13" i="16"/>
  <c r="K13" i="16"/>
  <c r="O13" i="16"/>
  <c r="Q13" i="16"/>
  <c r="U13" i="16"/>
  <c r="G16" i="16"/>
  <c r="M16" i="16" s="1"/>
  <c r="I16" i="16"/>
  <c r="K16" i="16"/>
  <c r="O16" i="16"/>
  <c r="Q16" i="16"/>
  <c r="U16" i="16"/>
  <c r="G19" i="16"/>
  <c r="M19" i="16" s="1"/>
  <c r="I19" i="16"/>
  <c r="K19" i="16"/>
  <c r="O19" i="16"/>
  <c r="Q19" i="16"/>
  <c r="U19" i="16"/>
  <c r="G21" i="16"/>
  <c r="M21" i="16" s="1"/>
  <c r="I21" i="16"/>
  <c r="K21" i="16"/>
  <c r="O21" i="16"/>
  <c r="Q21" i="16"/>
  <c r="U21" i="16"/>
  <c r="G23" i="16"/>
  <c r="M23" i="16" s="1"/>
  <c r="I23" i="16"/>
  <c r="K23" i="16"/>
  <c r="O23" i="16"/>
  <c r="Q23" i="16"/>
  <c r="U23" i="16"/>
  <c r="G24" i="16"/>
  <c r="M24" i="16" s="1"/>
  <c r="I24" i="16"/>
  <c r="K24" i="16"/>
  <c r="O24" i="16"/>
  <c r="Q24" i="16"/>
  <c r="U24" i="16"/>
  <c r="G27" i="16"/>
  <c r="M27" i="16" s="1"/>
  <c r="I27" i="16"/>
  <c r="K27" i="16"/>
  <c r="O27" i="16"/>
  <c r="Q27" i="16"/>
  <c r="U27" i="16"/>
  <c r="G29" i="16"/>
  <c r="M29" i="16" s="1"/>
  <c r="I29" i="16"/>
  <c r="K29" i="16"/>
  <c r="O29" i="16"/>
  <c r="Q29" i="16"/>
  <c r="U29" i="16"/>
  <c r="G31" i="16"/>
  <c r="M31" i="16" s="1"/>
  <c r="I31" i="16"/>
  <c r="K31" i="16"/>
  <c r="O31" i="16"/>
  <c r="Q31" i="16"/>
  <c r="U31" i="16"/>
  <c r="G33" i="16"/>
  <c r="M33" i="16" s="1"/>
  <c r="I33" i="16"/>
  <c r="K33" i="16"/>
  <c r="O33" i="16"/>
  <c r="Q33" i="16"/>
  <c r="U33" i="16"/>
  <c r="G36" i="16"/>
  <c r="M36" i="16" s="1"/>
  <c r="M35" i="16" s="1"/>
  <c r="I36" i="16"/>
  <c r="I35" i="16" s="1"/>
  <c r="K36" i="16"/>
  <c r="K35" i="16" s="1"/>
  <c r="O36" i="16"/>
  <c r="O35" i="16" s="1"/>
  <c r="Q36" i="16"/>
  <c r="Q35" i="16" s="1"/>
  <c r="U36" i="16"/>
  <c r="U35" i="16" s="1"/>
  <c r="G39" i="16"/>
  <c r="M39" i="16" s="1"/>
  <c r="M38" i="16" s="1"/>
  <c r="I39" i="16"/>
  <c r="I38" i="16" s="1"/>
  <c r="K39" i="16"/>
  <c r="K38" i="16" s="1"/>
  <c r="O39" i="16"/>
  <c r="O38" i="16" s="1"/>
  <c r="Q39" i="16"/>
  <c r="Q38" i="16" s="1"/>
  <c r="U39" i="16"/>
  <c r="U38" i="16" s="1"/>
  <c r="AD42" i="16"/>
  <c r="F45" i="1" s="1"/>
  <c r="AZ26" i="15"/>
  <c r="AZ22" i="15"/>
  <c r="G9" i="15"/>
  <c r="M9" i="15" s="1"/>
  <c r="I9" i="15"/>
  <c r="K9" i="15"/>
  <c r="O9" i="15"/>
  <c r="Q9" i="15"/>
  <c r="U9" i="15"/>
  <c r="G14" i="15"/>
  <c r="M14" i="15" s="1"/>
  <c r="I14" i="15"/>
  <c r="K14" i="15"/>
  <c r="O14" i="15"/>
  <c r="Q14" i="15"/>
  <c r="U14" i="15"/>
  <c r="G18" i="15"/>
  <c r="M18" i="15" s="1"/>
  <c r="I18" i="15"/>
  <c r="K18" i="15"/>
  <c r="O18" i="15"/>
  <c r="Q18" i="15"/>
  <c r="U18" i="15"/>
  <c r="G21" i="15"/>
  <c r="M21" i="15" s="1"/>
  <c r="I21" i="15"/>
  <c r="K21" i="15"/>
  <c r="O21" i="15"/>
  <c r="Q21" i="15"/>
  <c r="U21" i="15"/>
  <c r="G23" i="15"/>
  <c r="M23" i="15" s="1"/>
  <c r="I23" i="15"/>
  <c r="K23" i="15"/>
  <c r="O23" i="15"/>
  <c r="Q23" i="15"/>
  <c r="U23" i="15"/>
  <c r="G25" i="15"/>
  <c r="M25" i="15" s="1"/>
  <c r="I25" i="15"/>
  <c r="K25" i="15"/>
  <c r="O25" i="15"/>
  <c r="Q25" i="15"/>
  <c r="U25" i="15"/>
  <c r="G28" i="15"/>
  <c r="M28" i="15" s="1"/>
  <c r="I28" i="15"/>
  <c r="K28" i="15"/>
  <c r="O28" i="15"/>
  <c r="Q28" i="15"/>
  <c r="U28" i="15"/>
  <c r="G32" i="15"/>
  <c r="M32" i="15" s="1"/>
  <c r="I32" i="15"/>
  <c r="K32" i="15"/>
  <c r="O32" i="15"/>
  <c r="Q32" i="15"/>
  <c r="U32" i="15"/>
  <c r="G34" i="15"/>
  <c r="M34" i="15" s="1"/>
  <c r="I34" i="15"/>
  <c r="K34" i="15"/>
  <c r="O34" i="15"/>
  <c r="Q34" i="15"/>
  <c r="U34" i="15"/>
  <c r="G35" i="15"/>
  <c r="M35" i="15" s="1"/>
  <c r="I35" i="15"/>
  <c r="K35" i="15"/>
  <c r="O35" i="15"/>
  <c r="Q35" i="15"/>
  <c r="U35" i="15"/>
  <c r="G36" i="15"/>
  <c r="M36" i="15" s="1"/>
  <c r="I36" i="15"/>
  <c r="K36" i="15"/>
  <c r="O36" i="15"/>
  <c r="Q36" i="15"/>
  <c r="U36" i="15"/>
  <c r="G37" i="15"/>
  <c r="M37" i="15" s="1"/>
  <c r="I37" i="15"/>
  <c r="K37" i="15"/>
  <c r="O37" i="15"/>
  <c r="Q37" i="15"/>
  <c r="U37" i="15"/>
  <c r="G38" i="15"/>
  <c r="M38" i="15" s="1"/>
  <c r="I38" i="15"/>
  <c r="K38" i="15"/>
  <c r="O38" i="15"/>
  <c r="Q38" i="15"/>
  <c r="U38" i="15"/>
  <c r="G40" i="15"/>
  <c r="M40" i="15" s="1"/>
  <c r="I40" i="15"/>
  <c r="K40" i="15"/>
  <c r="O40" i="15"/>
  <c r="Q40" i="15"/>
  <c r="U40" i="15"/>
  <c r="G43" i="15"/>
  <c r="M43" i="15" s="1"/>
  <c r="M42" i="15" s="1"/>
  <c r="I43" i="15"/>
  <c r="I42" i="15" s="1"/>
  <c r="K43" i="15"/>
  <c r="K42" i="15" s="1"/>
  <c r="O43" i="15"/>
  <c r="O42" i="15" s="1"/>
  <c r="Q43" i="15"/>
  <c r="Q42" i="15" s="1"/>
  <c r="U43" i="15"/>
  <c r="U42" i="15" s="1"/>
  <c r="AD45" i="15"/>
  <c r="F44" i="1" s="1"/>
  <c r="AZ40" i="14"/>
  <c r="AZ38" i="14"/>
  <c r="AZ35" i="14"/>
  <c r="AZ32" i="14"/>
  <c r="AZ13" i="14"/>
  <c r="AZ10" i="14"/>
  <c r="G9" i="14"/>
  <c r="I9" i="14"/>
  <c r="K9" i="14"/>
  <c r="O9" i="14"/>
  <c r="Q9" i="14"/>
  <c r="U9" i="14"/>
  <c r="G12" i="14"/>
  <c r="M12" i="14" s="1"/>
  <c r="I12" i="14"/>
  <c r="K12" i="14"/>
  <c r="O12" i="14"/>
  <c r="Q12" i="14"/>
  <c r="U12" i="14"/>
  <c r="G15" i="14"/>
  <c r="I15" i="14"/>
  <c r="K15" i="14"/>
  <c r="O15" i="14"/>
  <c r="Q15" i="14"/>
  <c r="U15" i="14"/>
  <c r="G19" i="14"/>
  <c r="M19" i="14" s="1"/>
  <c r="I19" i="14"/>
  <c r="K19" i="14"/>
  <c r="O19" i="14"/>
  <c r="Q19" i="14"/>
  <c r="U19" i="14"/>
  <c r="G20" i="14"/>
  <c r="M20" i="14" s="1"/>
  <c r="I20" i="14"/>
  <c r="K20" i="14"/>
  <c r="O20" i="14"/>
  <c r="Q20" i="14"/>
  <c r="U20" i="14"/>
  <c r="G24" i="14"/>
  <c r="M24" i="14" s="1"/>
  <c r="I24" i="14"/>
  <c r="K24" i="14"/>
  <c r="O24" i="14"/>
  <c r="Q24" i="14"/>
  <c r="U24" i="14"/>
  <c r="G27" i="14"/>
  <c r="G26" i="14" s="1"/>
  <c r="I27" i="14"/>
  <c r="I26" i="14" s="1"/>
  <c r="K27" i="14"/>
  <c r="K26" i="14" s="1"/>
  <c r="O27" i="14"/>
  <c r="O26" i="14" s="1"/>
  <c r="Q27" i="14"/>
  <c r="Q26" i="14" s="1"/>
  <c r="U27" i="14"/>
  <c r="U26" i="14" s="1"/>
  <c r="G31" i="14"/>
  <c r="M31" i="14" s="1"/>
  <c r="I31" i="14"/>
  <c r="K31" i="14"/>
  <c r="O31" i="14"/>
  <c r="Q31" i="14"/>
  <c r="U31" i="14"/>
  <c r="G34" i="14"/>
  <c r="M34" i="14" s="1"/>
  <c r="I34" i="14"/>
  <c r="K34" i="14"/>
  <c r="O34" i="14"/>
  <c r="Q34" i="14"/>
  <c r="U34" i="14"/>
  <c r="G37" i="14"/>
  <c r="M37" i="14" s="1"/>
  <c r="I37" i="14"/>
  <c r="K37" i="14"/>
  <c r="O37" i="14"/>
  <c r="Q37" i="14"/>
  <c r="U37" i="14"/>
  <c r="G39" i="14"/>
  <c r="M39" i="14" s="1"/>
  <c r="I39" i="14"/>
  <c r="K39" i="14"/>
  <c r="O39" i="14"/>
  <c r="Q39" i="14"/>
  <c r="U39" i="14"/>
  <c r="G41" i="14"/>
  <c r="M41" i="14" s="1"/>
  <c r="I41" i="14"/>
  <c r="K41" i="14"/>
  <c r="O41" i="14"/>
  <c r="Q41" i="14"/>
  <c r="U41" i="14"/>
  <c r="G45" i="14"/>
  <c r="G44" i="14" s="1"/>
  <c r="I45" i="14"/>
  <c r="I44" i="14" s="1"/>
  <c r="K45" i="14"/>
  <c r="K44" i="14" s="1"/>
  <c r="O45" i="14"/>
  <c r="O44" i="14" s="1"/>
  <c r="Q45" i="14"/>
  <c r="Q44" i="14" s="1"/>
  <c r="U45" i="14"/>
  <c r="U44" i="14" s="1"/>
  <c r="G49" i="14"/>
  <c r="G48" i="14" s="1"/>
  <c r="I49" i="14"/>
  <c r="I48" i="14" s="1"/>
  <c r="K49" i="14"/>
  <c r="K48" i="14" s="1"/>
  <c r="O49" i="14"/>
  <c r="O48" i="14" s="1"/>
  <c r="Q49" i="14"/>
  <c r="Q48" i="14" s="1"/>
  <c r="U49" i="14"/>
  <c r="U48" i="14" s="1"/>
  <c r="G52" i="14"/>
  <c r="M52" i="14" s="1"/>
  <c r="I52" i="14"/>
  <c r="K52" i="14"/>
  <c r="O52" i="14"/>
  <c r="Q52" i="14"/>
  <c r="U52" i="14"/>
  <c r="G54" i="14"/>
  <c r="M54" i="14" s="1"/>
  <c r="I54" i="14"/>
  <c r="K54" i="14"/>
  <c r="O54" i="14"/>
  <c r="Q54" i="14"/>
  <c r="U54" i="14"/>
  <c r="G56" i="14"/>
  <c r="M56" i="14" s="1"/>
  <c r="I56" i="14"/>
  <c r="K56" i="14"/>
  <c r="O56" i="14"/>
  <c r="Q56" i="14"/>
  <c r="U56" i="14"/>
  <c r="G59" i="14"/>
  <c r="I59" i="14"/>
  <c r="K59" i="14"/>
  <c r="O59" i="14"/>
  <c r="Q59" i="14"/>
  <c r="U59" i="14"/>
  <c r="G61" i="14"/>
  <c r="M61" i="14" s="1"/>
  <c r="I61" i="14"/>
  <c r="K61" i="14"/>
  <c r="O61" i="14"/>
  <c r="Q61" i="14"/>
  <c r="U61" i="14"/>
  <c r="G63" i="14"/>
  <c r="M63" i="14" s="1"/>
  <c r="I63" i="14"/>
  <c r="K63" i="14"/>
  <c r="O63" i="14"/>
  <c r="Q63" i="14"/>
  <c r="U63" i="14"/>
  <c r="G66" i="14"/>
  <c r="M66" i="14" s="1"/>
  <c r="I66" i="14"/>
  <c r="K66" i="14"/>
  <c r="O66" i="14"/>
  <c r="Q66" i="14"/>
  <c r="U66" i="14"/>
  <c r="G68" i="14"/>
  <c r="M68" i="14" s="1"/>
  <c r="I68" i="14"/>
  <c r="K68" i="14"/>
  <c r="O68" i="14"/>
  <c r="Q68" i="14"/>
  <c r="U68" i="14"/>
  <c r="G71" i="14"/>
  <c r="M71" i="14" s="1"/>
  <c r="I71" i="14"/>
  <c r="K71" i="14"/>
  <c r="O71" i="14"/>
  <c r="Q71" i="14"/>
  <c r="U71" i="14"/>
  <c r="G74" i="14"/>
  <c r="G73" i="14" s="1"/>
  <c r="I74" i="14"/>
  <c r="I73" i="14" s="1"/>
  <c r="K74" i="14"/>
  <c r="K73" i="14" s="1"/>
  <c r="O74" i="14"/>
  <c r="O73" i="14" s="1"/>
  <c r="Q74" i="14"/>
  <c r="Q73" i="14" s="1"/>
  <c r="U74" i="14"/>
  <c r="U73" i="14" s="1"/>
  <c r="G78" i="14"/>
  <c r="M78" i="14" s="1"/>
  <c r="I78" i="14"/>
  <c r="K78" i="14"/>
  <c r="O78" i="14"/>
  <c r="Q78" i="14"/>
  <c r="U78" i="14"/>
  <c r="G80" i="14"/>
  <c r="M80" i="14" s="1"/>
  <c r="I80" i="14"/>
  <c r="K80" i="14"/>
  <c r="O80" i="14"/>
  <c r="Q80" i="14"/>
  <c r="U80" i="14"/>
  <c r="G82" i="14"/>
  <c r="M82" i="14" s="1"/>
  <c r="I82" i="14"/>
  <c r="K82" i="14"/>
  <c r="O82" i="14"/>
  <c r="Q82" i="14"/>
  <c r="U82" i="14"/>
  <c r="G84" i="14"/>
  <c r="M84" i="14" s="1"/>
  <c r="I84" i="14"/>
  <c r="K84" i="14"/>
  <c r="O84" i="14"/>
  <c r="Q84" i="14"/>
  <c r="U84" i="14"/>
  <c r="G86" i="14"/>
  <c r="M86" i="14" s="1"/>
  <c r="I86" i="14"/>
  <c r="K86" i="14"/>
  <c r="O86" i="14"/>
  <c r="Q86" i="14"/>
  <c r="U86" i="14"/>
  <c r="G88" i="14"/>
  <c r="M88" i="14" s="1"/>
  <c r="I88" i="14"/>
  <c r="K88" i="14"/>
  <c r="O88" i="14"/>
  <c r="Q88" i="14"/>
  <c r="U88" i="14"/>
  <c r="G90" i="14"/>
  <c r="M90" i="14" s="1"/>
  <c r="I90" i="14"/>
  <c r="K90" i="14"/>
  <c r="O90" i="14"/>
  <c r="Q90" i="14"/>
  <c r="U90" i="14"/>
  <c r="G92" i="14"/>
  <c r="M92" i="14" s="1"/>
  <c r="I92" i="14"/>
  <c r="K92" i="14"/>
  <c r="O92" i="14"/>
  <c r="Q92" i="14"/>
  <c r="U92" i="14"/>
  <c r="G94" i="14"/>
  <c r="M94" i="14" s="1"/>
  <c r="I94" i="14"/>
  <c r="K94" i="14"/>
  <c r="O94" i="14"/>
  <c r="Q94" i="14"/>
  <c r="U94" i="14"/>
  <c r="G96" i="14"/>
  <c r="M96" i="14" s="1"/>
  <c r="I96" i="14"/>
  <c r="K96" i="14"/>
  <c r="O96" i="14"/>
  <c r="Q96" i="14"/>
  <c r="U96" i="14"/>
  <c r="G98" i="14"/>
  <c r="M98" i="14" s="1"/>
  <c r="I98" i="14"/>
  <c r="K98" i="14"/>
  <c r="O98" i="14"/>
  <c r="Q98" i="14"/>
  <c r="U98" i="14"/>
  <c r="G100" i="14"/>
  <c r="M100" i="14" s="1"/>
  <c r="I100" i="14"/>
  <c r="K100" i="14"/>
  <c r="O100" i="14"/>
  <c r="Q100" i="14"/>
  <c r="U100" i="14"/>
  <c r="AD103" i="14"/>
  <c r="F43" i="1" s="1"/>
  <c r="AZ115" i="13"/>
  <c r="AZ102" i="13"/>
  <c r="AZ100" i="13"/>
  <c r="AZ95" i="13"/>
  <c r="AZ90" i="13"/>
  <c r="AZ74" i="13"/>
  <c r="AZ71" i="13"/>
  <c r="AZ34" i="13"/>
  <c r="AZ30" i="13"/>
  <c r="AZ27" i="13"/>
  <c r="AZ24" i="13"/>
  <c r="AZ20" i="13"/>
  <c r="AZ16" i="13"/>
  <c r="G9" i="13"/>
  <c r="M9" i="13" s="1"/>
  <c r="I9" i="13"/>
  <c r="K9" i="13"/>
  <c r="O9" i="13"/>
  <c r="Q9" i="13"/>
  <c r="U9" i="13"/>
  <c r="G12" i="13"/>
  <c r="M12" i="13" s="1"/>
  <c r="I12" i="13"/>
  <c r="K12" i="13"/>
  <c r="O12" i="13"/>
  <c r="Q12" i="13"/>
  <c r="U12" i="13"/>
  <c r="G15" i="13"/>
  <c r="M15" i="13" s="1"/>
  <c r="I15" i="13"/>
  <c r="K15" i="13"/>
  <c r="O15" i="13"/>
  <c r="Q15" i="13"/>
  <c r="U15" i="13"/>
  <c r="G19" i="13"/>
  <c r="I19" i="13"/>
  <c r="K19" i="13"/>
  <c r="O19" i="13"/>
  <c r="Q19" i="13"/>
  <c r="U19" i="13"/>
  <c r="G23" i="13"/>
  <c r="M23" i="13" s="1"/>
  <c r="I23" i="13"/>
  <c r="K23" i="13"/>
  <c r="O23" i="13"/>
  <c r="Q23" i="13"/>
  <c r="U23" i="13"/>
  <c r="G26" i="13"/>
  <c r="M26" i="13" s="1"/>
  <c r="I26" i="13"/>
  <c r="K26" i="13"/>
  <c r="O26" i="13"/>
  <c r="Q26" i="13"/>
  <c r="U26" i="13"/>
  <c r="G29" i="13"/>
  <c r="M29" i="13" s="1"/>
  <c r="I29" i="13"/>
  <c r="K29" i="13"/>
  <c r="O29" i="13"/>
  <c r="Q29" i="13"/>
  <c r="U29" i="13"/>
  <c r="G33" i="13"/>
  <c r="M33" i="13" s="1"/>
  <c r="I33" i="13"/>
  <c r="K33" i="13"/>
  <c r="O33" i="13"/>
  <c r="Q33" i="13"/>
  <c r="U33" i="13"/>
  <c r="G37" i="13"/>
  <c r="M37" i="13" s="1"/>
  <c r="I37" i="13"/>
  <c r="K37" i="13"/>
  <c r="O37" i="13"/>
  <c r="Q37" i="13"/>
  <c r="U37" i="13"/>
  <c r="G48" i="13"/>
  <c r="M48" i="13" s="1"/>
  <c r="I48" i="13"/>
  <c r="K48" i="13"/>
  <c r="O48" i="13"/>
  <c r="Q48" i="13"/>
  <c r="U48" i="13"/>
  <c r="G52" i="13"/>
  <c r="M52" i="13" s="1"/>
  <c r="I52" i="13"/>
  <c r="K52" i="13"/>
  <c r="O52" i="13"/>
  <c r="Q52" i="13"/>
  <c r="U52" i="13"/>
  <c r="G53" i="13"/>
  <c r="M53" i="13" s="1"/>
  <c r="I53" i="13"/>
  <c r="K53" i="13"/>
  <c r="O53" i="13"/>
  <c r="Q53" i="13"/>
  <c r="U53" i="13"/>
  <c r="G58" i="13"/>
  <c r="M58" i="13" s="1"/>
  <c r="I58" i="13"/>
  <c r="K58" i="13"/>
  <c r="O58" i="13"/>
  <c r="Q58" i="13"/>
  <c r="U58" i="13"/>
  <c r="G61" i="13"/>
  <c r="M61" i="13" s="1"/>
  <c r="I61" i="13"/>
  <c r="K61" i="13"/>
  <c r="O61" i="13"/>
  <c r="Q61" i="13"/>
  <c r="U61" i="13"/>
  <c r="G63" i="13"/>
  <c r="M63" i="13" s="1"/>
  <c r="I63" i="13"/>
  <c r="K63" i="13"/>
  <c r="O63" i="13"/>
  <c r="Q63" i="13"/>
  <c r="U63" i="13"/>
  <c r="G66" i="13"/>
  <c r="M66" i="13" s="1"/>
  <c r="I66" i="13"/>
  <c r="K66" i="13"/>
  <c r="O66" i="13"/>
  <c r="Q66" i="13"/>
  <c r="U66" i="13"/>
  <c r="G70" i="13"/>
  <c r="M70" i="13" s="1"/>
  <c r="I70" i="13"/>
  <c r="K70" i="13"/>
  <c r="O70" i="13"/>
  <c r="Q70" i="13"/>
  <c r="U70" i="13"/>
  <c r="G73" i="13"/>
  <c r="M73" i="13" s="1"/>
  <c r="I73" i="13"/>
  <c r="K73" i="13"/>
  <c r="O73" i="13"/>
  <c r="Q73" i="13"/>
  <c r="U73" i="13"/>
  <c r="G76" i="13"/>
  <c r="I76" i="13"/>
  <c r="K76" i="13"/>
  <c r="O76" i="13"/>
  <c r="Q76" i="13"/>
  <c r="U76" i="13"/>
  <c r="G80" i="13"/>
  <c r="M80" i="13" s="1"/>
  <c r="I80" i="13"/>
  <c r="K80" i="13"/>
  <c r="O80" i="13"/>
  <c r="Q80" i="13"/>
  <c r="U80" i="13"/>
  <c r="G82" i="13"/>
  <c r="M82" i="13" s="1"/>
  <c r="I82" i="13"/>
  <c r="K82" i="13"/>
  <c r="O82" i="13"/>
  <c r="Q82" i="13"/>
  <c r="U82" i="13"/>
  <c r="G84" i="13"/>
  <c r="M84" i="13" s="1"/>
  <c r="I84" i="13"/>
  <c r="K84" i="13"/>
  <c r="O84" i="13"/>
  <c r="Q84" i="13"/>
  <c r="U84" i="13"/>
  <c r="G89" i="13"/>
  <c r="M89" i="13" s="1"/>
  <c r="I89" i="13"/>
  <c r="K89" i="13"/>
  <c r="O89" i="13"/>
  <c r="Q89" i="13"/>
  <c r="U89" i="13"/>
  <c r="G94" i="13"/>
  <c r="M94" i="13" s="1"/>
  <c r="I94" i="13"/>
  <c r="K94" i="13"/>
  <c r="O94" i="13"/>
  <c r="Q94" i="13"/>
  <c r="U94" i="13"/>
  <c r="G99" i="13"/>
  <c r="M99" i="13" s="1"/>
  <c r="I99" i="13"/>
  <c r="K99" i="13"/>
  <c r="O99" i="13"/>
  <c r="Q99" i="13"/>
  <c r="U99" i="13"/>
  <c r="G101" i="13"/>
  <c r="I101" i="13"/>
  <c r="K101" i="13"/>
  <c r="O101" i="13"/>
  <c r="Q101" i="13"/>
  <c r="U101" i="13"/>
  <c r="G103" i="13"/>
  <c r="M103" i="13" s="1"/>
  <c r="I103" i="13"/>
  <c r="K103" i="13"/>
  <c r="O103" i="13"/>
  <c r="Q103" i="13"/>
  <c r="U103" i="13"/>
  <c r="G107" i="13"/>
  <c r="I107" i="13"/>
  <c r="K107" i="13"/>
  <c r="O107" i="13"/>
  <c r="Q107" i="13"/>
  <c r="U107" i="13"/>
  <c r="G109" i="13"/>
  <c r="M109" i="13" s="1"/>
  <c r="I109" i="13"/>
  <c r="K109" i="13"/>
  <c r="O109" i="13"/>
  <c r="Q109" i="13"/>
  <c r="U109" i="13"/>
  <c r="G110" i="13"/>
  <c r="M110" i="13" s="1"/>
  <c r="I110" i="13"/>
  <c r="K110" i="13"/>
  <c r="O110" i="13"/>
  <c r="Q110" i="13"/>
  <c r="U110" i="13"/>
  <c r="G112" i="13"/>
  <c r="M112" i="13" s="1"/>
  <c r="I112" i="13"/>
  <c r="K112" i="13"/>
  <c r="O112" i="13"/>
  <c r="Q112" i="13"/>
  <c r="U112" i="13"/>
  <c r="G113" i="13"/>
  <c r="M113" i="13" s="1"/>
  <c r="I113" i="13"/>
  <c r="K113" i="13"/>
  <c r="O113" i="13"/>
  <c r="Q113" i="13"/>
  <c r="U113" i="13"/>
  <c r="G114" i="13"/>
  <c r="M114" i="13" s="1"/>
  <c r="I114" i="13"/>
  <c r="K114" i="13"/>
  <c r="O114" i="13"/>
  <c r="Q114" i="13"/>
  <c r="U114" i="13"/>
  <c r="G117" i="13"/>
  <c r="M117" i="13" s="1"/>
  <c r="I117" i="13"/>
  <c r="K117" i="13"/>
  <c r="O117" i="13"/>
  <c r="Q117" i="13"/>
  <c r="U117" i="13"/>
  <c r="G122" i="13"/>
  <c r="M122" i="13" s="1"/>
  <c r="I122" i="13"/>
  <c r="K122" i="13"/>
  <c r="O122" i="13"/>
  <c r="Q122" i="13"/>
  <c r="U122" i="13"/>
  <c r="G125" i="13"/>
  <c r="M125" i="13" s="1"/>
  <c r="I125" i="13"/>
  <c r="K125" i="13"/>
  <c r="O125" i="13"/>
  <c r="Q125" i="13"/>
  <c r="U125" i="13"/>
  <c r="G128" i="13"/>
  <c r="M128" i="13" s="1"/>
  <c r="I128" i="13"/>
  <c r="K128" i="13"/>
  <c r="O128" i="13"/>
  <c r="Q128" i="13"/>
  <c r="U128" i="13"/>
  <c r="G130" i="13"/>
  <c r="M130" i="13" s="1"/>
  <c r="I130" i="13"/>
  <c r="K130" i="13"/>
  <c r="O130" i="13"/>
  <c r="Q130" i="13"/>
  <c r="U130" i="13"/>
  <c r="G132" i="13"/>
  <c r="M132" i="13" s="1"/>
  <c r="I132" i="13"/>
  <c r="K132" i="13"/>
  <c r="O132" i="13"/>
  <c r="Q132" i="13"/>
  <c r="U132" i="13"/>
  <c r="G135" i="13"/>
  <c r="M135" i="13" s="1"/>
  <c r="I135" i="13"/>
  <c r="K135" i="13"/>
  <c r="O135" i="13"/>
  <c r="Q135" i="13"/>
  <c r="U135" i="13"/>
  <c r="G137" i="13"/>
  <c r="M137" i="13" s="1"/>
  <c r="I137" i="13"/>
  <c r="K137" i="13"/>
  <c r="O137" i="13"/>
  <c r="Q137" i="13"/>
  <c r="U137" i="13"/>
  <c r="G139" i="13"/>
  <c r="M139" i="13" s="1"/>
  <c r="I139" i="13"/>
  <c r="K139" i="13"/>
  <c r="O139" i="13"/>
  <c r="Q139" i="13"/>
  <c r="U139" i="13"/>
  <c r="G141" i="13"/>
  <c r="M141" i="13" s="1"/>
  <c r="I141" i="13"/>
  <c r="K141" i="13"/>
  <c r="O141" i="13"/>
  <c r="Q141" i="13"/>
  <c r="U141" i="13"/>
  <c r="G143" i="13"/>
  <c r="M143" i="13" s="1"/>
  <c r="I143" i="13"/>
  <c r="K143" i="13"/>
  <c r="O143" i="13"/>
  <c r="Q143" i="13"/>
  <c r="U143" i="13"/>
  <c r="G145" i="13"/>
  <c r="M145" i="13" s="1"/>
  <c r="I145" i="13"/>
  <c r="K145" i="13"/>
  <c r="O145" i="13"/>
  <c r="Q145" i="13"/>
  <c r="U145" i="13"/>
  <c r="G147" i="13"/>
  <c r="M147" i="13" s="1"/>
  <c r="I147" i="13"/>
  <c r="K147" i="13"/>
  <c r="O147" i="13"/>
  <c r="Q147" i="13"/>
  <c r="U147" i="13"/>
  <c r="G148" i="13"/>
  <c r="M148" i="13" s="1"/>
  <c r="I148" i="13"/>
  <c r="K148" i="13"/>
  <c r="O148" i="13"/>
  <c r="Q148" i="13"/>
  <c r="U148" i="13"/>
  <c r="G149" i="13"/>
  <c r="M149" i="13" s="1"/>
  <c r="I149" i="13"/>
  <c r="K149" i="13"/>
  <c r="O149" i="13"/>
  <c r="Q149" i="13"/>
  <c r="U149" i="13"/>
  <c r="G151" i="13"/>
  <c r="M151" i="13" s="1"/>
  <c r="I151" i="13"/>
  <c r="K151" i="13"/>
  <c r="O151" i="13"/>
  <c r="Q151" i="13"/>
  <c r="U151" i="13"/>
  <c r="G154" i="13"/>
  <c r="I154" i="13"/>
  <c r="K154" i="13"/>
  <c r="O154" i="13"/>
  <c r="Q154" i="13"/>
  <c r="U154" i="13"/>
  <c r="G159" i="13"/>
  <c r="M159" i="13" s="1"/>
  <c r="I159" i="13"/>
  <c r="K159" i="13"/>
  <c r="O159" i="13"/>
  <c r="Q159" i="13"/>
  <c r="U159" i="13"/>
  <c r="G163" i="13"/>
  <c r="M163" i="13" s="1"/>
  <c r="I163" i="13"/>
  <c r="K163" i="13"/>
  <c r="O163" i="13"/>
  <c r="Q163" i="13"/>
  <c r="U163" i="13"/>
  <c r="G166" i="13"/>
  <c r="M166" i="13" s="1"/>
  <c r="I166" i="13"/>
  <c r="K166" i="13"/>
  <c r="O166" i="13"/>
  <c r="Q166" i="13"/>
  <c r="U166" i="13"/>
  <c r="G169" i="13"/>
  <c r="M169" i="13" s="1"/>
  <c r="I169" i="13"/>
  <c r="K169" i="13"/>
  <c r="O169" i="13"/>
  <c r="Q169" i="13"/>
  <c r="U169" i="13"/>
  <c r="G172" i="13"/>
  <c r="I172" i="13"/>
  <c r="K172" i="13"/>
  <c r="O172" i="13"/>
  <c r="Q172" i="13"/>
  <c r="U172" i="13"/>
  <c r="G174" i="13"/>
  <c r="M174" i="13" s="1"/>
  <c r="I174" i="13"/>
  <c r="K174" i="13"/>
  <c r="O174" i="13"/>
  <c r="Q174" i="13"/>
  <c r="U174" i="13"/>
  <c r="G176" i="13"/>
  <c r="M176" i="13" s="1"/>
  <c r="I176" i="13"/>
  <c r="K176" i="13"/>
  <c r="O176" i="13"/>
  <c r="Q176" i="13"/>
  <c r="U176" i="13"/>
  <c r="G179" i="13"/>
  <c r="I179" i="13"/>
  <c r="K179" i="13"/>
  <c r="O179" i="13"/>
  <c r="Q179" i="13"/>
  <c r="U179" i="13"/>
  <c r="G181" i="13"/>
  <c r="M181" i="13" s="1"/>
  <c r="I181" i="13"/>
  <c r="K181" i="13"/>
  <c r="O181" i="13"/>
  <c r="Q181" i="13"/>
  <c r="U181" i="13"/>
  <c r="G184" i="13"/>
  <c r="M184" i="13" s="1"/>
  <c r="I184" i="13"/>
  <c r="K184" i="13"/>
  <c r="O184" i="13"/>
  <c r="Q184" i="13"/>
  <c r="U184" i="13"/>
  <c r="G186" i="13"/>
  <c r="M186" i="13" s="1"/>
  <c r="I186" i="13"/>
  <c r="K186" i="13"/>
  <c r="O186" i="13"/>
  <c r="Q186" i="13"/>
  <c r="U186" i="13"/>
  <c r="G189" i="13"/>
  <c r="M189" i="13" s="1"/>
  <c r="M188" i="13" s="1"/>
  <c r="I189" i="13"/>
  <c r="I188" i="13" s="1"/>
  <c r="K189" i="13"/>
  <c r="K188" i="13" s="1"/>
  <c r="O189" i="13"/>
  <c r="O188" i="13" s="1"/>
  <c r="Q189" i="13"/>
  <c r="Q188" i="13" s="1"/>
  <c r="U189" i="13"/>
  <c r="U188" i="13" s="1"/>
  <c r="G192" i="13"/>
  <c r="M192" i="13" s="1"/>
  <c r="I192" i="13"/>
  <c r="K192" i="13"/>
  <c r="O192" i="13"/>
  <c r="Q192" i="13"/>
  <c r="U192" i="13"/>
  <c r="G194" i="13"/>
  <c r="M194" i="13" s="1"/>
  <c r="I194" i="13"/>
  <c r="K194" i="13"/>
  <c r="O194" i="13"/>
  <c r="Q194" i="13"/>
  <c r="U194" i="13"/>
  <c r="G196" i="13"/>
  <c r="M196" i="13" s="1"/>
  <c r="I196" i="13"/>
  <c r="K196" i="13"/>
  <c r="O196" i="13"/>
  <c r="Q196" i="13"/>
  <c r="U196" i="13"/>
  <c r="G199" i="13"/>
  <c r="M199" i="13" s="1"/>
  <c r="I199" i="13"/>
  <c r="K199" i="13"/>
  <c r="O199" i="13"/>
  <c r="Q199" i="13"/>
  <c r="U199" i="13"/>
  <c r="G203" i="13"/>
  <c r="M203" i="13" s="1"/>
  <c r="I203" i="13"/>
  <c r="K203" i="13"/>
  <c r="O203" i="13"/>
  <c r="Q203" i="13"/>
  <c r="U203" i="13"/>
  <c r="G207" i="13"/>
  <c r="M207" i="13" s="1"/>
  <c r="I207" i="13"/>
  <c r="K207" i="13"/>
  <c r="O207" i="13"/>
  <c r="Q207" i="13"/>
  <c r="U207" i="13"/>
  <c r="G210" i="13"/>
  <c r="M210" i="13" s="1"/>
  <c r="I210" i="13"/>
  <c r="K210" i="13"/>
  <c r="O210" i="13"/>
  <c r="Q210" i="13"/>
  <c r="U210" i="13"/>
  <c r="G212" i="13"/>
  <c r="M212" i="13" s="1"/>
  <c r="I212" i="13"/>
  <c r="K212" i="13"/>
  <c r="O212" i="13"/>
  <c r="Q212" i="13"/>
  <c r="U212" i="13"/>
  <c r="G217" i="13"/>
  <c r="M217" i="13" s="1"/>
  <c r="I217" i="13"/>
  <c r="K217" i="13"/>
  <c r="O217" i="13"/>
  <c r="Q217" i="13"/>
  <c r="U217" i="13"/>
  <c r="G220" i="13"/>
  <c r="M220" i="13" s="1"/>
  <c r="M219" i="13" s="1"/>
  <c r="I220" i="13"/>
  <c r="I219" i="13" s="1"/>
  <c r="K220" i="13"/>
  <c r="K219" i="13" s="1"/>
  <c r="O220" i="13"/>
  <c r="O219" i="13" s="1"/>
  <c r="Q220" i="13"/>
  <c r="Q219" i="13" s="1"/>
  <c r="U220" i="13"/>
  <c r="U219" i="13" s="1"/>
  <c r="G226" i="13"/>
  <c r="M226" i="13" s="1"/>
  <c r="I226" i="13"/>
  <c r="K226" i="13"/>
  <c r="O226" i="13"/>
  <c r="Q226" i="13"/>
  <c r="U226" i="13"/>
  <c r="G229" i="13"/>
  <c r="M229" i="13" s="1"/>
  <c r="I229" i="13"/>
  <c r="K229" i="13"/>
  <c r="O229" i="13"/>
  <c r="Q229" i="13"/>
  <c r="U229" i="13"/>
  <c r="G232" i="13"/>
  <c r="M232" i="13" s="1"/>
  <c r="I232" i="13"/>
  <c r="K232" i="13"/>
  <c r="O232" i="13"/>
  <c r="Q232" i="13"/>
  <c r="U232" i="13"/>
  <c r="G234" i="13"/>
  <c r="M234" i="13" s="1"/>
  <c r="I234" i="13"/>
  <c r="K234" i="13"/>
  <c r="O234" i="13"/>
  <c r="Q234" i="13"/>
  <c r="U234" i="13"/>
  <c r="G237" i="13"/>
  <c r="M237" i="13" s="1"/>
  <c r="I237" i="13"/>
  <c r="K237" i="13"/>
  <c r="O237" i="13"/>
  <c r="Q237" i="13"/>
  <c r="U237" i="13"/>
  <c r="G239" i="13"/>
  <c r="M239" i="13" s="1"/>
  <c r="I239" i="13"/>
  <c r="K239" i="13"/>
  <c r="O239" i="13"/>
  <c r="Q239" i="13"/>
  <c r="U239" i="13"/>
  <c r="G242" i="13"/>
  <c r="M242" i="13" s="1"/>
  <c r="I242" i="13"/>
  <c r="K242" i="13"/>
  <c r="O242" i="13"/>
  <c r="Q242" i="13"/>
  <c r="U242" i="13"/>
  <c r="G244" i="13"/>
  <c r="M244" i="13" s="1"/>
  <c r="I244" i="13"/>
  <c r="K244" i="13"/>
  <c r="O244" i="13"/>
  <c r="Q244" i="13"/>
  <c r="U244" i="13"/>
  <c r="G246" i="13"/>
  <c r="M246" i="13" s="1"/>
  <c r="I246" i="13"/>
  <c r="K246" i="13"/>
  <c r="O246" i="13"/>
  <c r="Q246" i="13"/>
  <c r="U246" i="13"/>
  <c r="G249" i="13"/>
  <c r="I249" i="13"/>
  <c r="K249" i="13"/>
  <c r="O249" i="13"/>
  <c r="Q249" i="13"/>
  <c r="U249" i="13"/>
  <c r="G253" i="13"/>
  <c r="M253" i="13" s="1"/>
  <c r="I253" i="13"/>
  <c r="K253" i="13"/>
  <c r="O253" i="13"/>
  <c r="Q253" i="13"/>
  <c r="U253" i="13"/>
  <c r="G258" i="13"/>
  <c r="M258" i="13" s="1"/>
  <c r="M257" i="13" s="1"/>
  <c r="I258" i="13"/>
  <c r="I257" i="13" s="1"/>
  <c r="K258" i="13"/>
  <c r="K257" i="13" s="1"/>
  <c r="O258" i="13"/>
  <c r="O257" i="13" s="1"/>
  <c r="Q258" i="13"/>
  <c r="Q257" i="13" s="1"/>
  <c r="U258" i="13"/>
  <c r="U257" i="13" s="1"/>
  <c r="G262" i="13"/>
  <c r="M262" i="13" s="1"/>
  <c r="I262" i="13"/>
  <c r="K262" i="13"/>
  <c r="O262" i="13"/>
  <c r="Q262" i="13"/>
  <c r="U262" i="13"/>
  <c r="G264" i="13"/>
  <c r="M264" i="13" s="1"/>
  <c r="I264" i="13"/>
  <c r="K264" i="13"/>
  <c r="O264" i="13"/>
  <c r="Q264" i="13"/>
  <c r="U264" i="13"/>
  <c r="G265" i="13"/>
  <c r="M265" i="13" s="1"/>
  <c r="I265" i="13"/>
  <c r="K265" i="13"/>
  <c r="O265" i="13"/>
  <c r="Q265" i="13"/>
  <c r="U265" i="13"/>
  <c r="G266" i="13"/>
  <c r="M266" i="13" s="1"/>
  <c r="I266" i="13"/>
  <c r="K266" i="13"/>
  <c r="O266" i="13"/>
  <c r="Q266" i="13"/>
  <c r="U266" i="13"/>
  <c r="G267" i="13"/>
  <c r="M267" i="13" s="1"/>
  <c r="I267" i="13"/>
  <c r="K267" i="13"/>
  <c r="O267" i="13"/>
  <c r="Q267" i="13"/>
  <c r="U267" i="13"/>
  <c r="AD269" i="13"/>
  <c r="F42" i="1" s="1"/>
  <c r="AZ43" i="12"/>
  <c r="AZ40" i="12"/>
  <c r="AZ33" i="12"/>
  <c r="AZ31" i="12"/>
  <c r="AZ29" i="12"/>
  <c r="AZ27" i="12"/>
  <c r="AZ25" i="12"/>
  <c r="AZ15" i="12"/>
  <c r="G9" i="12"/>
  <c r="M9" i="12" s="1"/>
  <c r="I9" i="12"/>
  <c r="K9" i="12"/>
  <c r="O9" i="12"/>
  <c r="Q9" i="12"/>
  <c r="U9" i="12"/>
  <c r="G12" i="12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7" i="12"/>
  <c r="M17" i="12" s="1"/>
  <c r="I17" i="12"/>
  <c r="K17" i="12"/>
  <c r="O17" i="12"/>
  <c r="Q17" i="12"/>
  <c r="U17" i="12"/>
  <c r="G20" i="12"/>
  <c r="I20" i="12"/>
  <c r="K20" i="12"/>
  <c r="O20" i="12"/>
  <c r="Q20" i="12"/>
  <c r="U20" i="12"/>
  <c r="G23" i="12"/>
  <c r="M23" i="12" s="1"/>
  <c r="I23" i="12"/>
  <c r="K23" i="12"/>
  <c r="O23" i="12"/>
  <c r="Q23" i="12"/>
  <c r="U23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7" i="12"/>
  <c r="M37" i="12" s="1"/>
  <c r="I37" i="12"/>
  <c r="K37" i="12"/>
  <c r="O37" i="12"/>
  <c r="Q37" i="12"/>
  <c r="U37" i="12"/>
  <c r="G39" i="12"/>
  <c r="M39" i="12" s="1"/>
  <c r="I39" i="12"/>
  <c r="K39" i="12"/>
  <c r="O39" i="12"/>
  <c r="Q39" i="12"/>
  <c r="U39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AD45" i="12"/>
  <c r="F41" i="1" s="1"/>
  <c r="H39" i="1"/>
  <c r="I39" i="1" s="1"/>
  <c r="K153" i="13" l="1"/>
  <c r="U248" i="13"/>
  <c r="G248" i="13"/>
  <c r="Q153" i="13"/>
  <c r="K248" i="13"/>
  <c r="Q225" i="13"/>
  <c r="U153" i="13"/>
  <c r="I248" i="13"/>
  <c r="K36" i="12"/>
  <c r="Q241" i="13"/>
  <c r="O198" i="13"/>
  <c r="Q178" i="13"/>
  <c r="Q88" i="13"/>
  <c r="I8" i="12"/>
  <c r="I261" i="13"/>
  <c r="K198" i="13"/>
  <c r="I51" i="14"/>
  <c r="Q261" i="13"/>
  <c r="M249" i="13"/>
  <c r="K241" i="13"/>
  <c r="U191" i="13"/>
  <c r="G106" i="13"/>
  <c r="I57" i="1" s="1"/>
  <c r="K88" i="13"/>
  <c r="U8" i="14"/>
  <c r="I36" i="12"/>
  <c r="U8" i="12"/>
  <c r="Q198" i="13"/>
  <c r="O241" i="13"/>
  <c r="I241" i="13"/>
  <c r="U178" i="13"/>
  <c r="I178" i="13"/>
  <c r="K162" i="13"/>
  <c r="O8" i="14"/>
  <c r="G35" i="16"/>
  <c r="I63" i="1" s="1"/>
  <c r="G22" i="12"/>
  <c r="I73" i="1" s="1"/>
  <c r="I18" i="1" s="1"/>
  <c r="G8" i="12"/>
  <c r="M241" i="13"/>
  <c r="G191" i="13"/>
  <c r="G188" i="13"/>
  <c r="G178" i="13"/>
  <c r="I60" i="1" s="1"/>
  <c r="G8" i="13"/>
  <c r="AE103" i="14"/>
  <c r="G43" i="1" s="1"/>
  <c r="H43" i="1" s="1"/>
  <c r="I43" i="1" s="1"/>
  <c r="AE11" i="17"/>
  <c r="G46" i="1" s="1"/>
  <c r="K8" i="12"/>
  <c r="O36" i="12"/>
  <c r="I22" i="12"/>
  <c r="K22" i="12"/>
  <c r="O8" i="12"/>
  <c r="U36" i="12"/>
  <c r="U22" i="12"/>
  <c r="M20" i="12"/>
  <c r="Q8" i="12"/>
  <c r="Q36" i="12"/>
  <c r="Q22" i="12"/>
  <c r="AE45" i="12"/>
  <c r="G41" i="1" s="1"/>
  <c r="H41" i="1" s="1"/>
  <c r="I41" i="1" s="1"/>
  <c r="M36" i="12"/>
  <c r="O22" i="12"/>
  <c r="M261" i="13"/>
  <c r="U241" i="13"/>
  <c r="U225" i="13"/>
  <c r="U198" i="13"/>
  <c r="K191" i="13"/>
  <c r="I191" i="13"/>
  <c r="U162" i="13"/>
  <c r="Q106" i="13"/>
  <c r="M107" i="13"/>
  <c r="M106" i="13" s="1"/>
  <c r="G88" i="13"/>
  <c r="K65" i="13"/>
  <c r="O65" i="13"/>
  <c r="O106" i="13"/>
  <c r="K261" i="13"/>
  <c r="U88" i="13"/>
  <c r="G65" i="13"/>
  <c r="I55" i="1" s="1"/>
  <c r="Q65" i="13"/>
  <c r="Q8" i="13"/>
  <c r="O261" i="13"/>
  <c r="I162" i="13"/>
  <c r="U65" i="13"/>
  <c r="U8" i="13"/>
  <c r="O191" i="13"/>
  <c r="K178" i="13"/>
  <c r="I153" i="13"/>
  <c r="O248" i="13"/>
  <c r="I225" i="13"/>
  <c r="Q191" i="13"/>
  <c r="O178" i="13"/>
  <c r="O162" i="13"/>
  <c r="AE269" i="13"/>
  <c r="G42" i="1" s="1"/>
  <c r="H42" i="1" s="1"/>
  <c r="I42" i="1" s="1"/>
  <c r="K225" i="13"/>
  <c r="I198" i="13"/>
  <c r="I88" i="13"/>
  <c r="I68" i="1"/>
  <c r="O225" i="13"/>
  <c r="U106" i="13"/>
  <c r="K106" i="13"/>
  <c r="I106" i="13"/>
  <c r="O88" i="13"/>
  <c r="I65" i="13"/>
  <c r="I8" i="13"/>
  <c r="U261" i="13"/>
  <c r="G162" i="13"/>
  <c r="Q248" i="13"/>
  <c r="Q162" i="13"/>
  <c r="O153" i="13"/>
  <c r="K8" i="13"/>
  <c r="O8" i="13"/>
  <c r="K77" i="14"/>
  <c r="G58" i="14"/>
  <c r="U51" i="14"/>
  <c r="O51" i="14"/>
  <c r="U30" i="14"/>
  <c r="K58" i="14"/>
  <c r="I58" i="14"/>
  <c r="Q51" i="14"/>
  <c r="M49" i="14"/>
  <c r="M48" i="14" s="1"/>
  <c r="Q30" i="14"/>
  <c r="G30" i="14"/>
  <c r="M15" i="14"/>
  <c r="Q77" i="14"/>
  <c r="M74" i="14"/>
  <c r="M73" i="14" s="1"/>
  <c r="U58" i="14"/>
  <c r="K8" i="14"/>
  <c r="G8" i="14"/>
  <c r="I77" i="14"/>
  <c r="U77" i="14"/>
  <c r="O58" i="14"/>
  <c r="K51" i="14"/>
  <c r="I30" i="14"/>
  <c r="I8" i="14"/>
  <c r="Q58" i="14"/>
  <c r="K30" i="14"/>
  <c r="M51" i="14"/>
  <c r="O30" i="14"/>
  <c r="O77" i="14"/>
  <c r="Q8" i="14"/>
  <c r="U8" i="15"/>
  <c r="I8" i="15"/>
  <c r="K8" i="15"/>
  <c r="F38" i="1"/>
  <c r="F47" i="1" s="1"/>
  <c r="G22" i="1" s="1"/>
  <c r="O8" i="15"/>
  <c r="G42" i="15"/>
  <c r="Q8" i="15"/>
  <c r="AE42" i="16"/>
  <c r="K8" i="16"/>
  <c r="O8" i="16"/>
  <c r="I8" i="16"/>
  <c r="U8" i="16"/>
  <c r="Q8" i="16"/>
  <c r="F46" i="1"/>
  <c r="F40" i="1"/>
  <c r="G8" i="17"/>
  <c r="G38" i="16"/>
  <c r="I70" i="1" s="1"/>
  <c r="G8" i="16"/>
  <c r="M11" i="16"/>
  <c r="M8" i="16" s="1"/>
  <c r="M8" i="15"/>
  <c r="AE45" i="15"/>
  <c r="G44" i="1" s="1"/>
  <c r="G8" i="15"/>
  <c r="M30" i="14"/>
  <c r="M77" i="14"/>
  <c r="G77" i="14"/>
  <c r="M9" i="14"/>
  <c r="M8" i="14" s="1"/>
  <c r="M59" i="14"/>
  <c r="M58" i="14" s="1"/>
  <c r="M45" i="14"/>
  <c r="M44" i="14" s="1"/>
  <c r="M27" i="14"/>
  <c r="M26" i="14" s="1"/>
  <c r="G51" i="14"/>
  <c r="I62" i="1" s="1"/>
  <c r="M198" i="13"/>
  <c r="M191" i="13"/>
  <c r="M225" i="13"/>
  <c r="M248" i="13"/>
  <c r="M179" i="13"/>
  <c r="M178" i="13" s="1"/>
  <c r="G153" i="13"/>
  <c r="I58" i="1" s="1"/>
  <c r="G261" i="13"/>
  <c r="I72" i="1" s="1"/>
  <c r="G225" i="13"/>
  <c r="I66" i="1" s="1"/>
  <c r="M154" i="13"/>
  <c r="M153" i="13" s="1"/>
  <c r="G241" i="13"/>
  <c r="I67" i="1" s="1"/>
  <c r="G198" i="13"/>
  <c r="G257" i="13"/>
  <c r="G219" i="13"/>
  <c r="I65" i="1" s="1"/>
  <c r="M172" i="13"/>
  <c r="M162" i="13" s="1"/>
  <c r="M101" i="13"/>
  <c r="M88" i="13" s="1"/>
  <c r="M76" i="13"/>
  <c r="M65" i="13" s="1"/>
  <c r="M19" i="13"/>
  <c r="M8" i="13" s="1"/>
  <c r="M22" i="12"/>
  <c r="M12" i="12"/>
  <c r="G36" i="12"/>
  <c r="I74" i="1" s="1"/>
  <c r="I19" i="1" s="1"/>
  <c r="J27" i="1"/>
  <c r="J25" i="1"/>
  <c r="G37" i="1"/>
  <c r="F37" i="1"/>
  <c r="J22" i="1"/>
  <c r="J23" i="1"/>
  <c r="J24" i="1"/>
  <c r="J26" i="1"/>
  <c r="E23" i="1"/>
  <c r="E25" i="1"/>
  <c r="I61" i="1" l="1"/>
  <c r="M8" i="12"/>
  <c r="I64" i="1"/>
  <c r="I16" i="1" s="1"/>
  <c r="H46" i="1"/>
  <c r="I46" i="1" s="1"/>
  <c r="G45" i="12"/>
  <c r="I56" i="1"/>
  <c r="G269" i="13"/>
  <c r="I71" i="1"/>
  <c r="G103" i="14"/>
  <c r="G45" i="15"/>
  <c r="I54" i="1"/>
  <c r="H44" i="1"/>
  <c r="I44" i="1" s="1"/>
  <c r="G38" i="1"/>
  <c r="G47" i="1" s="1"/>
  <c r="G24" i="1" s="1"/>
  <c r="A24" i="1" s="1"/>
  <c r="A25" i="1" s="1"/>
  <c r="G25" i="1" s="1"/>
  <c r="G45" i="1"/>
  <c r="H45" i="1" s="1"/>
  <c r="I45" i="1" s="1"/>
  <c r="G40" i="1"/>
  <c r="H40" i="1" s="1"/>
  <c r="I40" i="1" s="1"/>
  <c r="I59" i="1"/>
  <c r="G42" i="16"/>
  <c r="G11" i="17"/>
  <c r="I69" i="1"/>
  <c r="A22" i="1"/>
  <c r="A23" i="1" s="1"/>
  <c r="G23" i="1" s="1"/>
  <c r="I15" i="1" l="1"/>
  <c r="H38" i="1"/>
  <c r="H47" i="1" s="1"/>
  <c r="A26" i="1"/>
  <c r="A28" i="1" s="1"/>
  <c r="G28" i="1" s="1"/>
  <c r="G26" i="1" s="1"/>
  <c r="G27" i="1"/>
  <c r="I17" i="1"/>
  <c r="I75" i="1"/>
  <c r="I20" i="1" l="1"/>
  <c r="I38" i="1"/>
  <c r="I47" i="1" s="1"/>
  <c r="J42" i="1" s="1"/>
  <c r="J70" i="1"/>
  <c r="J59" i="1"/>
  <c r="J65" i="1"/>
  <c r="J58" i="1"/>
  <c r="J60" i="1"/>
  <c r="J57" i="1"/>
  <c r="J72" i="1"/>
  <c r="J54" i="1"/>
  <c r="J61" i="1"/>
  <c r="J74" i="1"/>
  <c r="J67" i="1"/>
  <c r="J63" i="1"/>
  <c r="J62" i="1"/>
  <c r="J55" i="1"/>
  <c r="J56" i="1"/>
  <c r="J66" i="1"/>
  <c r="J68" i="1"/>
  <c r="J73" i="1"/>
  <c r="J69" i="1"/>
  <c r="J71" i="1"/>
  <c r="J64" i="1"/>
  <c r="J43" i="1" l="1"/>
  <c r="J44" i="1"/>
  <c r="J38" i="1"/>
  <c r="J47" i="1" s="1"/>
  <c r="J39" i="1"/>
  <c r="J40" i="1"/>
  <c r="J45" i="1"/>
  <c r="J46" i="1"/>
  <c r="J41" i="1"/>
  <c r="J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300-000001000000}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mechp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<sst xmlns="http://schemas.openxmlformats.org/spreadsheetml/2006/main" count="2531" uniqueCount="868">
  <si>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</si>
  <si>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</si>
  <si>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</si>
  <si>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</si>
  <si>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</si>
  <si>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</si>
  <si>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</si>
  <si>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</si>
  <si>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</si>
  <si>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</si>
  <si>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</si>
  <si>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</si>
  <si>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</si>
  <si>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</si>
  <si>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</si>
  <si>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</si>
  <si>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</si>
  <si>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</si>
  <si>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</si>
  <si>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</si>
  <si>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</si>
  <si>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</si>
  <si>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</si>
  <si>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</si>
  <si>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</si>
  <si>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</si>
  <si>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</si>
  <si>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</si>
  <si>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</si>
  <si>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</si>
  <si>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</si>
  <si>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</si>
  <si>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</si>
  <si>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</si>
  <si>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</si>
  <si>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</si>
  <si>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</si>
  <si>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</si>
  <si>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</si>
  <si>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</si>
  <si>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</si>
  <si>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</si>
  <si>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</si>
  <si>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PM-19-074</t>
  </si>
  <si>
    <t>„Revitalizace atria ZŠ Komenského 66 v Novém Jičíně“</t>
  </si>
  <si>
    <t>Základní škola Nový Jičín, Komenského 66, příspěvková organizace</t>
  </si>
  <si>
    <t>Komenského 571/66</t>
  </si>
  <si>
    <t>Nový Jičín-Nový Jičín</t>
  </si>
  <si>
    <t>74101</t>
  </si>
  <si>
    <t>00848336</t>
  </si>
  <si>
    <t>CZ00848336</t>
  </si>
  <si>
    <t>Ing. Pavla Konečná</t>
  </si>
  <si>
    <t>Dolina 212</t>
  </si>
  <si>
    <t>Mořkov-Mořkov</t>
  </si>
  <si>
    <t>74272</t>
  </si>
  <si>
    <t>04429052</t>
  </si>
  <si>
    <t>Stavba</t>
  </si>
  <si>
    <t>Stavební objekt</t>
  </si>
  <si>
    <t>01</t>
  </si>
  <si>
    <t>OVN</t>
  </si>
  <si>
    <t>Ostatní a vedlejší náklady</t>
  </si>
  <si>
    <t>SO 01</t>
  </si>
  <si>
    <t>Atrium - Stavební úpravy</t>
  </si>
  <si>
    <t>SO 02</t>
  </si>
  <si>
    <t>Atrium - Drobná architektura</t>
  </si>
  <si>
    <t>SO 03</t>
  </si>
  <si>
    <t>Atrium - Zeleň</t>
  </si>
  <si>
    <t>SO 04</t>
  </si>
  <si>
    <t>Atrium - Technická infrastruktura - voda, kanalizace</t>
  </si>
  <si>
    <t>SO 05</t>
  </si>
  <si>
    <t>Atrium - Technická infrastruktura - elektro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</si>
  <si>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</si>
  <si>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</si>
  <si>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</si>
  <si>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</si>
  <si>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</si>
  <si>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</si>
  <si>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</si>
  <si>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</si>
  <si>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</si>
  <si>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</si>
  <si>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</si>
  <si>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</si>
  <si>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62</t>
  </si>
  <si>
    <t>Úpravy povrchů vnější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</si>
  <si>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</si>
  <si>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</si>
  <si>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</si>
  <si>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</si>
  <si>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</si>
  <si>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</si>
  <si>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</si>
  <si>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</si>
  <si>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722</t>
  </si>
  <si>
    <t>Vnitřní vodovod</t>
  </si>
  <si>
    <t>762</t>
  </si>
  <si>
    <t>Konstrukce tesařské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</si>
  <si>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</si>
  <si>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</si>
  <si>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</si>
  <si>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</si>
  <si>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</si>
  <si>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</si>
  <si>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</si>
  <si>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</si>
  <si>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M21</t>
  </si>
  <si>
    <t>Elektromontáže</t>
  </si>
  <si>
    <t>M35</t>
  </si>
  <si>
    <t>Montáže čerpadel, kompresorů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</si>
  <si>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</si>
  <si>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</si>
  <si>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</si>
  <si>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</si>
  <si>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</si>
  <si>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</si>
  <si>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</si>
  <si>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</si>
  <si>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</si>
  <si>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</si>
  <si>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</si>
  <si>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</si>
  <si>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</si>
  <si>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</si>
  <si>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</si>
  <si>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</si>
  <si>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</si>
  <si>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</si>
  <si>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</si>
  <si>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</si>
  <si>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</si>
  <si>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</si>
  <si>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</si>
  <si>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</si>
  <si>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</si>
  <si>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</si>
  <si>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</si>
  <si>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</si>
  <si>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</si>
  <si>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</si>
  <si>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</si>
  <si>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</si>
  <si>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</si>
  <si>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</si>
  <si>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162701105R00</t>
  </si>
  <si>
    <t>Vodorovné přemístění výkopku Vodorovné přemístění výkopku z hor.1-4 do 10000 m</t>
  </si>
  <si>
    <t>m3</t>
  </si>
  <si>
    <t>800-1</t>
  </si>
  <si>
    <t>RTS 19/ I</t>
  </si>
  <si>
    <t>Práce</t>
  </si>
  <si>
    <t>POL1_</t>
  </si>
  <si>
    <t>po suchu, bez naložení výkopku, avšak se složením bez rozhrnutí, zpáteční cesta vozidla.</t>
  </si>
  <si>
    <t>SPI</t>
  </si>
  <si>
    <t>příjezd na staveniště a zařízení staveniště : 0,05*(4,0*50,0+5,0*15,0)</t>
  </si>
  <si>
    <t>VV</t>
  </si>
  <si>
    <t>167101101R00</t>
  </si>
  <si>
    <t>Nakládání, skládání, překládání neulehlého výkopku nakládání výkopku_x000D_
 Nakládání výkopku z hor.1-4 v množství do 100 m3</t>
  </si>
  <si>
    <t>181301101R00</t>
  </si>
  <si>
    <t>Rozprostření a urovnání ornice v rovině Rozprostření ornice, rovina, tl. do 10 cm do 500m2</t>
  </si>
  <si>
    <t>m2</t>
  </si>
  <si>
    <t>s případným nutným přemístěním hromad nebo dočasných skládek na místo potřeby ze vzdálenosti do 30 m, v rovině nebo ve svahu do 1 : 5,</t>
  </si>
  <si>
    <t>příjezd na staveniště a zařízení staveniště : 4,0*50,0+5,0*15,0</t>
  </si>
  <si>
    <t>180400120RA0</t>
  </si>
  <si>
    <t>Založení trávníku parkového,rovina,s odplevelením</t>
  </si>
  <si>
    <t>Agregovaná položka</t>
  </si>
  <si>
    <t>POL2_</t>
  </si>
  <si>
    <t>Včetně přesunu hmot, prvního pokosení, naložení odpadu a odvezení do 20 km, se složením.</t>
  </si>
  <si>
    <t>POP</t>
  </si>
  <si>
    <t>10364200R</t>
  </si>
  <si>
    <t>Ornice pro pozemkové úpravy</t>
  </si>
  <si>
    <t>SPCM</t>
  </si>
  <si>
    <t>Specifikace</t>
  </si>
  <si>
    <t>POL3_</t>
  </si>
  <si>
    <t>005111020R</t>
  </si>
  <si>
    <t>Vytyčení stavby</t>
  </si>
  <si>
    <t>Soubor</t>
  </si>
  <si>
    <t>Indiv</t>
  </si>
  <si>
    <t>VRN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</si>
  <si>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</si>
  <si>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</si>
  <si>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</si>
  <si>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</si>
  <si>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</si>
  <si>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</si>
  <si>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</si>
  <si>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</si>
  <si>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</si>
  <si>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</si>
  <si>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</si>
  <si>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</si>
  <si>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</si>
  <si>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</si>
  <si>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</si>
  <si>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</si>
  <si>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</si>
  <si>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</si>
  <si>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</si>
  <si>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zkoušek zhutnění podloží.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</si>
  <si>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</si>
  <si>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</si>
  <si>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</si>
  <si>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</si>
  <si>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</si>
  <si>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</si>
  <si>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</si>
  <si>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SUM</t>
  </si>
  <si>
    <t>Geodetické zaměření rohů stavby, stabilizace bodů a sestavení laviček.</t>
  </si>
  <si>
    <t>END</t>
  </si>
  <si>
    <t>122201102R00</t>
  </si>
  <si>
    <t>Odkopávky a  prokopávky nezapažené v hornině 3_x000D_
 přes 100 do 1 000 m3</t>
  </si>
  <si>
    <t>s přehozením výkopku na vzdálenost do 3 m nebo s naložením na dopravní prostředek,</t>
  </si>
  <si>
    <t>stávající ornice : 0,34*(12,05*5,65+12,0*5,65+12,2*11,75+12,05*5,7+12,0*5,7)</t>
  </si>
  <si>
    <t>122201109R00</t>
  </si>
  <si>
    <t>Odkopávky a  prokopávky nezapažené v hornině 3_x000D_
 příplatek k cenám za lepivost horniny</t>
  </si>
  <si>
    <t>stávající ornice : 0,34*(12,05*5,65+12,0*5,65+12,2*11,75+12,05*5,7+12,0*5,7)*0,5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</si>
  <si>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</si>
  <si>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</si>
  <si>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</si>
  <si>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pigmentovaný beton : 0,14*185</t>
  </si>
  <si>
    <t>mlat pojížděný : 0,06*125</t>
  </si>
  <si>
    <t>122202209R00</t>
  </si>
  <si>
    <t>Odkopávky a prokopávky pro silnice v hornině 3 příplatek za lepivost horniny</t>
  </si>
  <si>
    <t>pigmentovaný beton : 0,14*185*0,5</t>
  </si>
  <si>
    <t>mlat pojížděný : 0,06*125*0,5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</si>
  <si>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</si>
  <si>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</si>
  <si>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</si>
  <si>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jáma na pódium a sedáky : 0,04*(13,0*15,29)</t>
  </si>
  <si>
    <t>131201119R00</t>
  </si>
  <si>
    <t xml:space="preserve">Hloubení nezapažených jam a zářezů příplatek za lepivost, v hornině 3,  </t>
  </si>
  <si>
    <t>jáma na pódium a sedáky : 0,04*(13,0*15,29)*0,5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</si>
  <si>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</si>
  <si>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</si>
  <si>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</si>
  <si>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pásy podium+boční stěny : 0,6*0,95*(8,63*2+1,46*2+12,0)+0,6*0,4*(5,0*2+12,0)</t>
  </si>
  <si>
    <t>pásy sedáky : 0,6*0,85*(5,2*2)+0,6*0,675*(5,2*2)+0,6*0,5*(5,2*2)</t>
  </si>
  <si>
    <t>132201119R00</t>
  </si>
  <si>
    <t xml:space="preserve">Hloubení rýh šířky do 60 cm příplatek za lepivost, v hornině 3,  </t>
  </si>
  <si>
    <t>pásy podium+boční stěny : (0,6*0,95*(8,63*2+1,46*2+12,0)+0,6*0,4*(5,0*2+12,0))*0,5</t>
  </si>
  <si>
    <t>pásy sedáky : (0,6*0,85*(5,2*2)+0,6*0,675*(5,2*2)+0,6*0,5*(5,2*2))*0,5</t>
  </si>
  <si>
    <t>Vodorovné přemístění výkopku z horniny 1 až 4, na vzdálenost přes 9 000  do 10 000 m</t>
  </si>
  <si>
    <t>násypy pod ZP : -58,6</t>
  </si>
  <si>
    <t>- pásy podium+boční stěny - obsyp : -(0,2*0,85*(8,63*2+1,46*2+12,0)+0,2*0,3*(5,0*2+12,0))</t>
  </si>
  <si>
    <t>- pásy sedáky - obsyp : -(0,1*0,75*(5,2*2)+0,1*0,575*(5,2*2)+0,1*0,4*(5,2*2))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</si>
  <si>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</si>
  <si>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</si>
  <si>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</si>
  <si>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mlat pochůzí : 0,1*470</t>
  </si>
  <si>
    <t>štěrkové doskočiště : 0,04*290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</si>
  <si>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</si>
  <si>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</si>
  <si>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</si>
  <si>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</si>
  <si>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</si>
  <si>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</si>
  <si>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pásy podium+boční stěny - obsyp : 0,2*0,85*(8,63*2+1,46*2+12,0)+0,2*0,3*(5,0*2+12,0)</t>
  </si>
  <si>
    <t>pásy sedáky - obsyp : 0,1*0,75*(5,2*2)+0,1*0,575*(5,2*2)+0,1*0,4*(5,2*2)</t>
  </si>
  <si>
    <t>181101102R00</t>
  </si>
  <si>
    <t>Úprava pláně v zářezech v hornině 1 až 4, se zhutněním</t>
  </si>
  <si>
    <t>vyrovnáním výškových rozdílů, ploch vodorovných a ploch do sklonu 1 : 5.</t>
  </si>
  <si>
    <t>185+470+125+290+480</t>
  </si>
  <si>
    <t>199000001R00</t>
  </si>
  <si>
    <t>Poplatky za skládku ornice</t>
  </si>
  <si>
    <t>stávající ornice : 0,34*(12,05*5,65+12,0*5,65+12,2*11,75+12,05*5,7+12,0*5,7)*1,6</t>
  </si>
  <si>
    <t>199000005R00</t>
  </si>
  <si>
    <t>Poplatky za skládku zeminy 1- 4</t>
  </si>
  <si>
    <t>t</t>
  </si>
  <si>
    <t>151,97275*1,6</t>
  </si>
  <si>
    <t>273313311R00</t>
  </si>
  <si>
    <t>Beton základových desek prostý třídy C 8/10</t>
  </si>
  <si>
    <t>801-1</t>
  </si>
  <si>
    <t>dodávka a uložení betonu do připravené konstrukce,</t>
  </si>
  <si>
    <t>pásy podium+boční stěny : (0,6*0,1*(8,63*2+1,46*2+12,0)+0,6*0,1*(5,0*2+12,0))*1,1</t>
  </si>
  <si>
    <t>pásy sedáky : (0,6*0,1*(5,2*2)+0,6*0,1*(5,2*2)+0,6*0,1*(5,2*2))*1,1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</si>
  <si>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</si>
  <si>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</si>
  <si>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</si>
  <si>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Pigmentovaný beton : 0,18*(13,1*4+12,0*13+10,7*4+17,15+5,3+5,25+1,8+9,5+5,25+1,8+9,5+5,25+17,1+5,25+5,25)</t>
  </si>
  <si>
    <t>273351216R00</t>
  </si>
  <si>
    <t>Bednění stěn základových desek odstranění</t>
  </si>
  <si>
    <t>Včetně očištění, vytřídění a uložení bednicího materiálu.</t>
  </si>
  <si>
    <t>289971212R00</t>
  </si>
  <si>
    <t>Zřízení vrstvy z geotextilie na upraveném povrchu sklon do 1:5, šířka přes 3 do 6 m</t>
  </si>
  <si>
    <t>800-2</t>
  </si>
  <si>
    <t>mlat pochůzí : 470</t>
  </si>
  <si>
    <t>mlat pojížděný : 125</t>
  </si>
  <si>
    <t>štěrkové doskočiště : 290</t>
  </si>
  <si>
    <t>713131130R00</t>
  </si>
  <si>
    <t>Montáž tepelné izolace stěn vložením do nosné rámové konstrukce</t>
  </si>
  <si>
    <t>800-713</t>
  </si>
  <si>
    <t>Pigmentovaný beton - dilatace stáv konstr : 0,18*(12,8+0,6*2+0,4*6)</t>
  </si>
  <si>
    <t>283759201R</t>
  </si>
  <si>
    <t>deska izolační EPS 70 F; pěnový polystyren; povrch hladký; rovná hrana; tl. 30,0 mm; součinitel tepelné vodivosti 0,038 W/mK; R = 0,789 m2K/W; obj. hmotnost 17,00 kg/m3</t>
  </si>
  <si>
    <t>Pigmentovaný beton - dilatace stáv konstr : 0,18*(12,8+0,6*2+0,4*6)*1,2</t>
  </si>
  <si>
    <t>69366198R</t>
  </si>
  <si>
    <t>geotextilie PP; funkce separační, ochranná, výztužná, filtrační; plošná hmotnost 300 g/m2; zpevněná oboustranně</t>
  </si>
  <si>
    <t>mlat pochůzí : 470*1,1</t>
  </si>
  <si>
    <t>mlat pojížděný : 125*1,1</t>
  </si>
  <si>
    <t>štěrkové doskočiště : 290*1,1</t>
  </si>
  <si>
    <t>311321824R00</t>
  </si>
  <si>
    <t>Beton nadzákladových zdí železový pohledový třídy PB 2 v přírodní barvě drtí a přísad z betonu třídy C20/25</t>
  </si>
  <si>
    <t>nosných, výplňových, obkladových, půdních, štítových, poprsních apod. (bez výztuže), s pomocným lešením o výšce podlahy do 1900 mm a pro zatížení 1,5 kPa,</t>
  </si>
  <si>
    <t>pásy podium+boční stěny : (0,4*1,25*8,63*2+0,4*1,46*1,46*2+0,4*1,01*5,0*2+0,3*1,0*12,0+0,3*0,91*12,0)*1,05</t>
  </si>
  <si>
    <t>pásy sedáky : 0,4*1,15*(5,2*2*3)*1,05</t>
  </si>
  <si>
    <t>schody a deska pódia : (0,25*0,35*12,0*2+0,15*5,26*12,0+2)*1,05</t>
  </si>
  <si>
    <t>311351805R00</t>
  </si>
  <si>
    <t>Bednění nadzákladových zdí oboustranné za každou stranu pro beton pohledový, zřízení</t>
  </si>
  <si>
    <t>RTS 17/ I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</si>
  <si>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</si>
  <si>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pásy podium+boční stěny : 2*(0,4*1,25+8,63*1,25)+2*(0,4*0,21+0,4*1,46+1,46*1,46)+2*(0,4*1,01+5,0*1,01)+2*(1,0*12,0)+2*(0,91*12,0)</t>
  </si>
  <si>
    <t>pásy sedáky : 6*(1,15*(0,4*2+5,2*2))</t>
  </si>
  <si>
    <t>schody a deska pódia : 0,152*12,0*3+0,105*12,0</t>
  </si>
  <si>
    <t>311351806R00</t>
  </si>
  <si>
    <t>Bednění nadzákladových zdí oboustranné za každou stranu pro beton pohledový, odstranění</t>
  </si>
  <si>
    <t>311351901R00</t>
  </si>
  <si>
    <t>Bednění nadzákladových zdí bednění otvoru plochy do 0,5 m2</t>
  </si>
  <si>
    <t>kus</t>
  </si>
  <si>
    <t>311362021R00</t>
  </si>
  <si>
    <t>Výztuž nadzákladových zdí ze svařovaných sítí</t>
  </si>
  <si>
    <t>včetně distančních prvků</t>
  </si>
  <si>
    <t>120 kg/m3 : 51,629844*0,12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</si>
  <si>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</si>
  <si>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</si>
  <si>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</si>
  <si>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</si>
  <si>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113107605R00</t>
  </si>
  <si>
    <t>Odstranění podkladů nebo krytů z kameniva hrubého drceného, v ploše jednotlivě nad 50 m2, tloušťka vrstvy 50 mm</t>
  </si>
  <si>
    <t>113107615R00</t>
  </si>
  <si>
    <t>Odstranění podkladů nebo krytů z kameniva hrubého drceného, v ploše jednotlivě nad 50 m2, tloušťka vrstvy 150 mm</t>
  </si>
  <si>
    <t>1100+120</t>
  </si>
  <si>
    <t>113108407R00</t>
  </si>
  <si>
    <t>Odstranění podkladů nebo krytů živičných, v ploše jednotlivě nad 50 m2, tloušťka vrstvy 70 mm</t>
  </si>
  <si>
    <t>113109412R00</t>
  </si>
  <si>
    <t>Odstranění podkladů nebo krytů z betonu prostého, v ploše jednotlivě nad 50 m2, tloušťka vrstvy 120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</si>
  <si>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</si>
  <si>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</si>
  <si>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</si>
  <si>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</si>
  <si>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12,05*2+5,65*2+12,02+5,65*2+12,2*2+11,75*2+12,05*2+5,7*2+12,0*2+5,7*2</t>
  </si>
  <si>
    <t>564211111R00</t>
  </si>
  <si>
    <t>Podklad nebo podsyp ze štěrkopísku tloušťka po zhutnění 50 mm</t>
  </si>
  <si>
    <t>s rozprostřením, vlhčením a zhutněním</t>
  </si>
  <si>
    <t>Pigmentovaný beton : 185*1,1</t>
  </si>
  <si>
    <t>564251111R00</t>
  </si>
  <si>
    <t>Podklad nebo podsyp ze štěrkopísku tloušťka po zhutnění 150 mm</t>
  </si>
  <si>
    <t>podium : 0,15*(4,6*12,0)</t>
  </si>
  <si>
    <t>564581111R00</t>
  </si>
  <si>
    <t>Zřízení podkladu nebo podsypu ze sypaniny tloušťka po zhutnění 300 mm</t>
  </si>
  <si>
    <t>564831111R00</t>
  </si>
  <si>
    <t>Podklad ze štěrkodrti s rozprostřením a zhutněním frakce 0-63 mm, tloušťka po zhutnění 100 mm</t>
  </si>
  <si>
    <t>564831111RT2</t>
  </si>
  <si>
    <t>Podklad ze štěrkodrti s rozprostřením a zhutněním frakce 0-32 mm, tloušťka po zhutnění 100 mm</t>
  </si>
  <si>
    <t>Pigmentovaný beton : 185*1,2</t>
  </si>
  <si>
    <t>564851111R00</t>
  </si>
  <si>
    <t>Podklad ze štěrkodrti s rozprostřením a zhutněním frakce 0-63 mm, tloušťka po zhutnění 150 mm</t>
  </si>
  <si>
    <t>pódium : 5,86*12,0</t>
  </si>
  <si>
    <t>564851113R00</t>
  </si>
  <si>
    <t>Podklad ze štěrkodrti s rozprostřením a zhutněním frakce 0-63 mm, tloušťka po zhutnění 170 mm</t>
  </si>
  <si>
    <t>564861111R00</t>
  </si>
  <si>
    <t>Podklad ze štěrkodrti s rozprostřením a zhutněním frakce 0-63 mm, tloušťka po zhutnění 200 mm</t>
  </si>
  <si>
    <t>597101111RT1</t>
  </si>
  <si>
    <t>Montáž odvodňovacího žlabu z polymerbetonu včetně betonového lože C 12/15, zatížení A 15 kN</t>
  </si>
  <si>
    <t>2*12,0</t>
  </si>
  <si>
    <t>564922105RX1</t>
  </si>
  <si>
    <t>Mlatový kryt z mech.zpevněného kameniva tl. 10 cm</t>
  </si>
  <si>
    <t>564922105RX2</t>
  </si>
  <si>
    <t>Mlatový kryt z mech.zpevněného kameniva tl. 18 cm</t>
  </si>
  <si>
    <t>581131113RX1</t>
  </si>
  <si>
    <t>Pigmentovaný beton C30/37 XF4 tl. 18 cm, vyztuž ocelovými vlákny 20 kg/m3, přesná specifikace dle PD</t>
  </si>
  <si>
    <t>Pigmentovaný beton : 185</t>
  </si>
  <si>
    <t>553962030R</t>
  </si>
  <si>
    <t>stěna čelní pro polymerbetonový žlab; š. žlabu 13,0 cm</t>
  </si>
  <si>
    <t>Kalkul</t>
  </si>
  <si>
    <t>553962035R</t>
  </si>
  <si>
    <t>čelo žlabu s nátrubkem; š žlabu 130 mm</t>
  </si>
  <si>
    <t>58333664X</t>
  </si>
  <si>
    <t>Kamenivo  těžené frakce 2-8 kačírek praný</t>
  </si>
  <si>
    <t>štěrkové doskočiště : 0,3*290*1,05</t>
  </si>
  <si>
    <t>592278000R</t>
  </si>
  <si>
    <t>žlab odvodňovací polymerický beton; s předformovaným odtokem do dna; l = 1 000,0 mm; š = 100 mm; h = 110,0 mm; rošt ocelový můstkový rošt; zatížení A 15</t>
  </si>
  <si>
    <t>2*12</t>
  </si>
  <si>
    <t>622901112R00</t>
  </si>
  <si>
    <t>Ubroušení výstupků betonu po odbednění Ubroušení výstupků betonu po odbednění stěn</t>
  </si>
  <si>
    <t>do roviny povrchu, s případným ojedinělým zahlazením míst cementovou maltou,</t>
  </si>
  <si>
    <t>pásy podium+boční stěny : 0,4*(15,09*2+0,21*2*2)+0,1*(15,09*2+0,21*2*2)+0,5*(8,63*2)+2*(0,3*0,456+0,3*0,304+0,3*0,152+0,3*0,105)</t>
  </si>
  <si>
    <t>pásy sedáky : 6*(0,35*5,0+0,4*(0,4*2+5,0*2))</t>
  </si>
  <si>
    <t>schody a deska pódia : 0,152*12,0*4+0,105*12,0*2+6,46*12,0</t>
  </si>
  <si>
    <t>624472615R00</t>
  </si>
  <si>
    <t>Vyspravení vnějších betonových a železobetonových konstrukcí a panelů lokální oprava speciální maltou - vyčištění prohlubně vymetením, nátěr plochy adhezním můstkem, zaplnění prohlubně výplňovou maltou tloušťka 15 mm, opravovaná plocha přes 0,5 do 1 m2</t>
  </si>
  <si>
    <t>801-4</t>
  </si>
  <si>
    <t>schody : 0,18*0,72+,38*5,145+0,2*0,87+0,72*5,265+0,345*7,685+0,61*7,858+0,805*7,685+0,72*5,4+0,33*0,585+0,695*5,275+0,18*0,87+0,4*5,11+0,18*7,6</t>
  </si>
  <si>
    <t>sokl schodiště : 0,3*(36,592+0,65*2)</t>
  </si>
  <si>
    <t>211971110R00</t>
  </si>
  <si>
    <t xml:space="preserve">Zřízení opláštění odvod. žeber z geotextilie o sklonu do 1:2,5,  </t>
  </si>
  <si>
    <t>v rýze nebo v zářezu se stěnami,</t>
  </si>
  <si>
    <t>drenáže : (3*12,5)*(0,3*4)</t>
  </si>
  <si>
    <t>212312111R00</t>
  </si>
  <si>
    <t>Lože pro trativody z betonu prostého</t>
  </si>
  <si>
    <t>Včetně vyčištění dna rýh.</t>
  </si>
  <si>
    <t>drenáže : (3*12,5)*(0,3*0,05)</t>
  </si>
  <si>
    <t>212561111R00</t>
  </si>
  <si>
    <t>Výplň trativodů kamenivem hrubým drceným, frakce 4-16 mm</t>
  </si>
  <si>
    <t>do rýh bez zhutnění s úpravou povrchu výplně,</t>
  </si>
  <si>
    <t>drenáže : (3*12,5)*(0,3*0,3)</t>
  </si>
  <si>
    <t>871318111R00</t>
  </si>
  <si>
    <t>Kladení drenážního potrubí z plastických hmot</t>
  </si>
  <si>
    <t>drenáže : 3*12,5</t>
  </si>
  <si>
    <t>28611222.AR</t>
  </si>
  <si>
    <t>trubka plastová drenážní PVC; ohebná; perforovaná po celém obvodu; DN 80,0 mm</t>
  </si>
  <si>
    <t>drenáže : 3*12,5*1,1</t>
  </si>
  <si>
    <t>drenáže : (3*12,5)*(0,3*4)*1,1</t>
  </si>
  <si>
    <t>965048230R00</t>
  </si>
  <si>
    <t>Dočištění povrchu po vybourání dlažeb do cementové malty, plochy do 30%</t>
  </si>
  <si>
    <t>801-3</t>
  </si>
  <si>
    <t>965081813RT2</t>
  </si>
  <si>
    <t>Bourání podlah z dlaždic teracových, tloušťky do 30 mm, plochy přes 1 m2</t>
  </si>
  <si>
    <t>bez podkladního lože, s jakoukoliv výplní spár</t>
  </si>
  <si>
    <t>978015291R00</t>
  </si>
  <si>
    <t>Otlučení omítek vápenných nebo vápenocementových vnějších s vyškrabáním spár, s očištěním zdiva_x000D_
 1. až 4. stupni složitosti, v rozsahu do 100 %</t>
  </si>
  <si>
    <t>967042714X00</t>
  </si>
  <si>
    <t>Odsekání podlahy plošné z betonu tl. 30 cm</t>
  </si>
  <si>
    <t>2,1*1,0</t>
  </si>
  <si>
    <t>998235011R00</t>
  </si>
  <si>
    <t>Přesun hmot pro nástupiště a rampy přesun hmot pro nástupiště a rampy</t>
  </si>
  <si>
    <t>823-1</t>
  </si>
  <si>
    <t>Přesun hmot</t>
  </si>
  <si>
    <t>POL7_</t>
  </si>
  <si>
    <t>a rampy ostatní jakéhokoliv rozsahu</t>
  </si>
  <si>
    <t>711823121RT4</t>
  </si>
  <si>
    <t>800-711</t>
  </si>
  <si>
    <t>1,0*(15,09*2)+0,5*(8,63*2+12,0*2)</t>
  </si>
  <si>
    <t>711823129RT3</t>
  </si>
  <si>
    <t>15,09*2+8,63*2+12,0*2</t>
  </si>
  <si>
    <t>998711101R00</t>
  </si>
  <si>
    <t>Přesun hmot pro izolace proti vodě Přesun hmot pro izolace proti vodě, výšky do 6 m</t>
  </si>
  <si>
    <t>50 m vodorovně měřeno od těžiště půdorysné plochy skládky do těžiště půdorysné plochy objektu</t>
  </si>
  <si>
    <t>762523108R00</t>
  </si>
  <si>
    <t>Položení podlah montáž_x000D_
 Položení podlah hoblovaných na sraz z fošen</t>
  </si>
  <si>
    <t>800-762</t>
  </si>
  <si>
    <t>sedací zídky - latě 40x40 mm : 8*(0,04*4,0*14)</t>
  </si>
  <si>
    <t>pódium - fošna 150x60 mm : 4,66*12,0</t>
  </si>
  <si>
    <t>sedáky schody - latě 40x40 mm : 3*(0,04*4,0*14)</t>
  </si>
  <si>
    <t>762595000R00</t>
  </si>
  <si>
    <t>Spojovací a ochranné prostředky hřebíky, vruty, impregnace</t>
  </si>
  <si>
    <t>sedací zídky - latě 40x40 mm : (0,04*0,04*8*(4,0*14))</t>
  </si>
  <si>
    <t>pódium - fošna 150x60 mm : (0,06*4,66*12,0)</t>
  </si>
  <si>
    <t>sedáky schody - latě 40x40 mm : (0,04*0,04*3*(4,0*14))</t>
  </si>
  <si>
    <t>762712110R00</t>
  </si>
  <si>
    <t>Prostorové vázané konstrukce z řeziva montáž Montáž vázaných konstrukcí hraněných do 120 cm2</t>
  </si>
  <si>
    <t>včetně vyvrtání děr, osazení svorníků a dotažení rektifikačních článků.</t>
  </si>
  <si>
    <t>pódium rošt - trám 100x100 mm : 11,8*8+4,66*2+0,56*2</t>
  </si>
  <si>
    <t>762795000R00</t>
  </si>
  <si>
    <t>Spojovací a ochranné prostředky Spojovací prostředky pro vázané konstrukce</t>
  </si>
  <si>
    <t>pódium rošt - trám 100x100 mm : 0,1*0,1*(11,8*8+4,66*2+0,56*2)</t>
  </si>
  <si>
    <t>6055X</t>
  </si>
  <si>
    <t>Řezivo akátové</t>
  </si>
  <si>
    <t>sedací zídky - latě 40x40 mm : (0,04*0,04*8*(4,0*14))*1,1</t>
  </si>
  <si>
    <t>pódium - fošna 150x60 mm : (0,06*4,66*12,0)*1,1</t>
  </si>
  <si>
    <t>pódium rošt - trám 100x100 mm : 0,1*0,1*(11,8*8+4,66*2+0,56*2)*1,1</t>
  </si>
  <si>
    <t>sedáky schody - latě 40x40 mm : (0,04*0,04*3*(4,0*14))*1,1</t>
  </si>
  <si>
    <t>998762102R00</t>
  </si>
  <si>
    <t>Přesun hmot pro konstrukce tesařské Přesun hmot pro tesařské konstrukce, výšky do 12 m</t>
  </si>
  <si>
    <t>50 m vodorovně</t>
  </si>
  <si>
    <t>767990010RAX</t>
  </si>
  <si>
    <t>Atypické ocelové konstrukce, do 5 kg/kus</t>
  </si>
  <si>
    <t>kg</t>
  </si>
  <si>
    <t>Výroba a montáž, včetně materiálu, povrchové úpravy žárovým zinkováním a spojovacího mateiálu.</t>
  </si>
  <si>
    <t>kotvící prvek akátové lavice - sedáku : 3,2*5*8</t>
  </si>
  <si>
    <t>mechanizmus otevírání pódia k elektru : 4,8*2</t>
  </si>
  <si>
    <t>kotvící prvek akátové lavice - sedáku schody : 3,2*5*3</t>
  </si>
  <si>
    <t>771101210RT1</t>
  </si>
  <si>
    <t>800-771</t>
  </si>
  <si>
    <t>POL1_7</t>
  </si>
  <si>
    <t>771578011RT3</t>
  </si>
  <si>
    <t>vč. dodávky a montáže silikonu.</t>
  </si>
  <si>
    <t>0,18+0,72+0,2+5,145+0,2+0,87+0,54+5,265+0,38+0,59+0,380+0,345+0,425+4,705+0,425+0,345+0,38+0,61+0,38+5,4+0,38+0,585+0,38+5,275+0,515+0,87+0,22+5,11+0,22+0,76+0,18+7,685</t>
  </si>
  <si>
    <t>771577131RS2</t>
  </si>
  <si>
    <t xml:space="preserve">Hrany schodů, dilatační, koutové, ukončovací a přechodové profily profily hran schodů nerez, hrany schodů, upevnění do maltovéo lože, výška profilu 10 mm,  </t>
  </si>
  <si>
    <t>36,592+0,3*2+7,685</t>
  </si>
  <si>
    <t>771775109R00</t>
  </si>
  <si>
    <t>Montáž podlah vnějších z dlaždic keramických 30 x 30 cm, režných nebo glazovaných, hladkých, kladených do flexibilního tmele</t>
  </si>
  <si>
    <t>597642031R</t>
  </si>
  <si>
    <t>dlažba keramická š = 300 mm; l = 300 mm; h = 9,0 mm; protiskluzová úprava; pro interiér i exteriér</t>
  </si>
  <si>
    <t>42,364*1,1</t>
  </si>
  <si>
    <t>998771101R00</t>
  </si>
  <si>
    <t>Přesun hmot pro podlahy z dlaždic v objektech výšky do 6 m</t>
  </si>
  <si>
    <t>776972328R00</t>
  </si>
  <si>
    <t>Čisticí zóny a rohože vstupní rohož, z pružných gumových vlnovek přinýtovaných k hliníkovým páskům, tloušťky 28 nebo 18 mm</t>
  </si>
  <si>
    <t>800-775</t>
  </si>
  <si>
    <t>776976101R00</t>
  </si>
  <si>
    <t xml:space="preserve">Čisticí zóny a rohože rám z profilu L, z hliníku,  </t>
  </si>
  <si>
    <t xml:space="preserve">m     </t>
  </si>
  <si>
    <t>2,1*2+1,0*2</t>
  </si>
  <si>
    <t>998776101R00</t>
  </si>
  <si>
    <t>Přesun hmot pro podlahy povlakové v objektech výšky do 6 m</t>
  </si>
  <si>
    <t>vodorovně do 50 m</t>
  </si>
  <si>
    <t>783222921RT2</t>
  </si>
  <si>
    <t>Údržba nátěrů doplňkových konstrukcí, syntetické dvojnásobné, kovářská barva</t>
  </si>
  <si>
    <t>800-783</t>
  </si>
  <si>
    <t>na vzduchu schnoucích</t>
  </si>
  <si>
    <t>stávající ocelová brána : 20,0</t>
  </si>
  <si>
    <t>stávající madla + sloupky : 5,0</t>
  </si>
  <si>
    <t>783612100R00</t>
  </si>
  <si>
    <t>Nátěry truhlářských výrobků olejové dvojnásobné</t>
  </si>
  <si>
    <t>sedací zídky - latě 40x40 mm : (0,04*4)*8*(4,0*14)*1,1</t>
  </si>
  <si>
    <t>pódium - fošna 150x60 mm : 2*(4,66*12,0*2)*1,2</t>
  </si>
  <si>
    <t>pódium rošt - trám 100x100 mm : (0,1*4)*(11,8*8+4,66*2+0,56*2)*1,1</t>
  </si>
  <si>
    <t>M990001</t>
  </si>
  <si>
    <t>Demontáž/odstranění stávajícího mobiliáře, herních prvků a betonových truhlíků</t>
  </si>
  <si>
    <t xml:space="preserve">hod   </t>
  </si>
  <si>
    <t>2*8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</si>
  <si>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</si>
  <si>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</si>
  <si>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</si>
  <si>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</si>
  <si>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</si>
  <si>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</si>
  <si>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</si>
  <si>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</si>
  <si>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</si>
  <si>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</si>
  <si>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</si>
  <si>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</si>
  <si>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</si>
  <si>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Hloubení rýh šířky do 60 cm Hloubení rýh š.do 60 cm v hor.3 do 50 m3, STROJNĚ</t>
  </si>
  <si>
    <t>mobilní molo : 2*(0,6*0,56*16,8)</t>
  </si>
  <si>
    <t>Hloubení rýh šířky do 60 cm Přípl.za lepivost,hloubení rýh 60 cm,hor.3,STROJNĚ</t>
  </si>
  <si>
    <t>mobilní molo : 2*(0,6*0,56*16,8)*0,5</t>
  </si>
  <si>
    <t>- mobilní molo - obsyp : -2*(0,175*0,46*16,8+0,175*0,46*12,88)</t>
  </si>
  <si>
    <t>Uložení sypaniny Uložení sypaniny na skl.-sypanina na výšku přes 2m</t>
  </si>
  <si>
    <t>Zásyp sypaninou se zhutněním Zásyp jam, rýh, šachet se zhutněním</t>
  </si>
  <si>
    <t>mobilní molo : 2*(0,175*0,46*16,8+0,175*0,46*12,88)</t>
  </si>
  <si>
    <t>Poplatky za skládku Poplatek za skládku zeminy 1- 4</t>
  </si>
  <si>
    <t>6,51112*1,6</t>
  </si>
  <si>
    <t>Beton základových desek prostý Beton základových desek prostý C 8/10</t>
  </si>
  <si>
    <t>mobilní molo : 2*(0,6*0,1*16,8)*1,1</t>
  </si>
  <si>
    <t>Beton nadzákladových zdí železový pohledový třídy PB 2 v přírodní barvě drtí a přísad Železobeton nadzákladových zdí pohledový C 20/25</t>
  </si>
  <si>
    <t>mobilní molo : 2*(0,25*0,8*15,71)*1,05</t>
  </si>
  <si>
    <t>Bednění nadzákladových zdí oboustranné za každou stranu Bednění nadzákl.zdí pohled.hl.oboustranné-zřízení</t>
  </si>
  <si>
    <t>mobilní molo : 2*(0,8*15,71+0,8*12,88)</t>
  </si>
  <si>
    <t>Bednění nadzákladových zdí oboustranné za každou stranu Bednění nadzákl.zdí,pohled.hl.,oboustr.-odstranění</t>
  </si>
  <si>
    <t>Bednění nadzákladových zdí bednění otvoru Bednění otvoru nadzáklad.zdí plochy do 0,5 m2</t>
  </si>
  <si>
    <t>Výztuž nadzákladových zdí Výztuž nadzákladových zdí ze svařovaných sítí KARI</t>
  </si>
  <si>
    <t>120 kg/m3 : 6,5982*0,12</t>
  </si>
  <si>
    <t>mobilní molo : 2*((0,25+0,25)*15,71)</t>
  </si>
  <si>
    <t>Ochrana konstrukcí nopovou fólií svisle, výška nopu 8 mm, včetně dodávky fólie</t>
  </si>
  <si>
    <t>mobilní molo : 2*(1,0*15,71+1,0*12,88)</t>
  </si>
  <si>
    <t>Ochrana konstrukcí nopovou fólií ukončovací lišta,  , včetně dodávky lišty</t>
  </si>
  <si>
    <t>mobilní molo : 2*(15,71+12,88)</t>
  </si>
  <si>
    <t>Přesun hmot pro izolace proti vodě svisle do 6 m</t>
  </si>
  <si>
    <t>Položení podlah montáž_x000D_
 z fošen hoblovaných na sraz</t>
  </si>
  <si>
    <t>mobilní molo - fošny 150x60 mm : 2*(19,63-0,79)</t>
  </si>
  <si>
    <t>mobilní molo - fošny 150x60 mm : 0,06*(2*(19,63-0,79))</t>
  </si>
  <si>
    <t>Prostorové vázané konstrukce z řeziva montáž hraněného , průřezové plochy do 120 cm2</t>
  </si>
  <si>
    <t>mobilní molo - trámy 100x100 mm : 2*(1,85*2+4,715*2+3,98*2+2,35*2+1,5*2+0,7*4)</t>
  </si>
  <si>
    <t>Spojovací a ochranné prostředky hřebíky, svory, fiksační prkna, impregnace</t>
  </si>
  <si>
    <t>mobilní molo - trámy 100x100 mm : 0,1*0,1*2*(1,85*2+4,715*2+3,98*2+2,35*2+1,5*2+0,7*4)</t>
  </si>
  <si>
    <t>mobilní molo - fošny 150x60 mm : 0,06*(2*(19,63-0,79))*1,2</t>
  </si>
  <si>
    <t>mobilní molo - trámy 100x100 mm : 0,1*0,1*(2*(1,85*2+4,715*2+3,98*2+2,35*2+1,5*2+0,7*4))*1,1</t>
  </si>
  <si>
    <t>Přesun hmot pro konstrukce tesařské v objektech výšky do 12 m</t>
  </si>
  <si>
    <t>mobilní molo - fošny 150x60 mm : 2*(2*(19,63-0,79))*1,2</t>
  </si>
  <si>
    <t>mobilní molo - trámy 100x100 mm : (0,1*4)*(2*(1,85*2+4,715*2+3,98*2+2,35*2+1,5*2+0,7*4))*1,1</t>
  </si>
  <si>
    <t xml:space="preserve">ks    </t>
  </si>
  <si>
    <t>Včetně základové konstrukce, dopravy a certifikace.</t>
  </si>
  <si>
    <t>M990002</t>
  </si>
  <si>
    <t>M990003</t>
  </si>
  <si>
    <t>M990004</t>
  </si>
  <si>
    <t>M990005</t>
  </si>
  <si>
    <t>M990006</t>
  </si>
  <si>
    <t>M990007</t>
  </si>
  <si>
    <t>M991001</t>
  </si>
  <si>
    <t>Včetně základové konstrukce a dopravy.</t>
  </si>
  <si>
    <t>M991002</t>
  </si>
  <si>
    <t>M991003</t>
  </si>
  <si>
    <t>M991004</t>
  </si>
  <si>
    <t>M991005</t>
  </si>
  <si>
    <t>Včetně spojovacího materiálu a dopravy.</t>
  </si>
  <si>
    <t>dovoz ornice : 80</t>
  </si>
  <si>
    <t>dovoz křemičitého písku : 25</t>
  </si>
  <si>
    <t>dovoz zeminy : 60</t>
  </si>
  <si>
    <t>181006112R00</t>
  </si>
  <si>
    <t>Rozprostření zemin schopných zúrodnění sklon svahu do 1:5, tloušťka přes 100 do 150 mm</t>
  </si>
  <si>
    <t>823-2</t>
  </si>
  <si>
    <t>v rovině a ve sklonu do 1:5</t>
  </si>
  <si>
    <t>ve sklonu přes 1:5</t>
  </si>
  <si>
    <t>181301104R00</t>
  </si>
  <si>
    <t>Rozprostření a urovnání ornice v rovině v souvislé ploše do 500 m2, tloušťka vrstvy přes 200 do 250 mm</t>
  </si>
  <si>
    <t>184201117RA0</t>
  </si>
  <si>
    <t>Výsadba stromů a keřů s balem bez dodávky dřevin_x000D_
 v rovině, výšky do 350 cm</t>
  </si>
  <si>
    <t>AP-HSV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</si>
  <si>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</si>
  <si>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Včetně přesunu hmot.</t>
  </si>
  <si>
    <t>180400001</t>
  </si>
  <si>
    <t>Výsadba cibulovin v trávníku, rovina</t>
  </si>
  <si>
    <t>1800+830</t>
  </si>
  <si>
    <t>18420001</t>
  </si>
  <si>
    <t>Dodávka a montáž protikořenové bariéry z netkané textílie o hmotnosti 360g/m2, šířky 1000 mm</t>
  </si>
  <si>
    <t>100% polypropylen se speciální povrchovou úpravou zabraňující prorůstání kořenů</t>
  </si>
  <si>
    <t>0261X1</t>
  </si>
  <si>
    <t>Crocus tommasinianus – 15ks/m2</t>
  </si>
  <si>
    <t>0261X2</t>
  </si>
  <si>
    <t>Narcissus cyclamineus 'Jenny' - 10ks/m2</t>
  </si>
  <si>
    <t>0265X1</t>
  </si>
  <si>
    <t>Prunus subhirtella 'Autumnalis'  vel 16-18</t>
  </si>
  <si>
    <t>24551546R</t>
  </si>
  <si>
    <t>písek posypový křemičitý; frakce 0,6 až 1,2 mm; 25,00 kg</t>
  </si>
  <si>
    <t xml:space="preserve">t     </t>
  </si>
  <si>
    <t>25*1,45</t>
  </si>
  <si>
    <t>59691019.AR</t>
  </si>
  <si>
    <t>zemina recyklovaná</t>
  </si>
  <si>
    <t>60*1,6</t>
  </si>
  <si>
    <t>998231311R00</t>
  </si>
  <si>
    <t>Přesun hmot pro krajinářské a sadovnické úpravy přesun hmot pro sadovnické a krajinářské úpravy do 5000 m vodorovně, bez svislého přesunu</t>
  </si>
  <si>
    <t>Hloubení jamek v hornině 1 až 4. Výsadba cibulek se zalitím. Dovoz vody.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</si>
  <si>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</si>
  <si>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</si>
  <si>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</si>
  <si>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899103111RT2</t>
  </si>
  <si>
    <t>Osazení poklopů litinových a ocelových včetně dodávky poklopu litinového s rámem _x000D_
 kruhového D 600 mm</t>
  </si>
  <si>
    <t>827-1</t>
  </si>
  <si>
    <t>976085211R00</t>
  </si>
  <si>
    <t>Vybourání madel, objímek, rámů, mříží apod. kanalizačních rámů litinových, z rýhovaného plechu nebo betonových včetně poklopů nebo mříží_x000D_
 plochy do 0,3 m2</t>
  </si>
  <si>
    <t>831230110RA0</t>
  </si>
  <si>
    <t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t>
  </si>
  <si>
    <t>areálový rozvod vody : 33</t>
  </si>
  <si>
    <t>831230110RAA</t>
  </si>
  <si>
    <t>rozvod užitkové vody : 25,0</t>
  </si>
  <si>
    <t>831350111RAB</t>
  </si>
  <si>
    <t>přípojka dešťové kanalizace : 11,0+8,0</t>
  </si>
  <si>
    <t>831350113RAB</t>
  </si>
  <si>
    <t>přípojka dešťové kanalizace : 0,5+2,0</t>
  </si>
  <si>
    <t>893411010RA0</t>
  </si>
  <si>
    <t>Šachta vodoměrné plastové kruhová, samonosná, výšky 1500 mm</t>
  </si>
  <si>
    <t>894431111RAA</t>
  </si>
  <si>
    <t>Šachty plastové plastové šachty z dílců D 315 mm, dno přímé, D 110 mm, délka šachtové roury 1,25 m, poklop litina 12,5 t</t>
  </si>
  <si>
    <t>Plastové dno, šachta z korugované trouby, těsnění, šachtová roura teleskopická, poklop litinový, čtvercový rám do teleskopické trouby.</t>
  </si>
  <si>
    <t>pro rozvod vody : 2</t>
  </si>
  <si>
    <t>894431112RAA</t>
  </si>
  <si>
    <t>Šachty plastové plastové šachty z dílců D 315 mm, dno sběrné, D 110 mm, délka šachtové roury 1,25 m, poklop litina 12,5 t</t>
  </si>
  <si>
    <t>894431313RBA</t>
  </si>
  <si>
    <t>Šachty plastové plastové šachty z dílců D 425 mm, dno sběrné s výkyvnými hrdly, D 160 mm, délka šachtové roury 1,50 m, poklop litina 12,5 t</t>
  </si>
  <si>
    <t>Plastové dno, šachta z korugované trouby, těsnění, šachtová roura teleskopická, rám do teleskopické trouby, poklop litinový.</t>
  </si>
  <si>
    <t>831350110RA0</t>
  </si>
  <si>
    <t>přípojka dešťové kanalizace : 13,0+0,5</t>
  </si>
  <si>
    <t>899000002RAX</t>
  </si>
  <si>
    <t>Retenční jímka dešťových vod, objem 6 m3, přesná specifikace dle PD</t>
  </si>
  <si>
    <t>soubor</t>
  </si>
  <si>
    <t>Kompletní dodávka a montáž vč. zemních prací a odvozů.</t>
  </si>
  <si>
    <t>7220001</t>
  </si>
  <si>
    <t>Přívod pitné vody do átria objektu</t>
  </si>
  <si>
    <t>Demontáž a zpětná montáž svislého zákrytu 4 m2 + demontáž a zpětná montáž umyvadla s baterií a syfonem včetně dodávky nového syfonu + napojení nové vodoinstalace na stávající rozvod + nová vodoinstalace DN 25 délky 6 m vč izolace a armatur + dodávka a montáž chráničky dl. 2,0 m + sekání prostupu přes základ + sekání a následná oprava podlahy vč. hydroizolace 1 m2 + demontáž a spětná montáž stávajícího radiátoru vč. vypuštění a napuštění otopné soustavy. Doplnění obkladů a dlažeb + zapravení omítek + výmalba. Likvidace odpadu a úklid.</t>
  </si>
  <si>
    <t>M350001</t>
  </si>
  <si>
    <t>Dodávka a montáž čerpadla na dešťovou vodu, specifikace dle PD</t>
  </si>
  <si>
    <t>Čerpadlo ponorné, kalové se spodním sáním, plovákovým spínačem a integrovanou řídící tlakovou jednotkoou, 230 V, výtlak 42 m.</t>
  </si>
  <si>
    <t>M210001</t>
  </si>
  <si>
    <t>Dodávka a montáž elektroinstalace, viz samostatný rozpočet</t>
  </si>
  <si>
    <t>Krycí list rozpočtu</t>
  </si>
  <si>
    <t>Název stavby:</t>
  </si>
  <si>
    <t>Revitalizace Atria ZŠ Komenského 66, Nový Jičín</t>
  </si>
  <si>
    <t>Objednatel:</t>
  </si>
  <si>
    <t>IČ/DIČ:</t>
  </si>
  <si>
    <t>Druh stavby:</t>
  </si>
  <si>
    <t>SO 05 Atrium -TI - elektro</t>
  </si>
  <si>
    <t>Lokalita:</t>
  </si>
  <si>
    <t>Komenského 66, Nový Jičín</t>
  </si>
  <si>
    <t>Začátek výstavby:</t>
  </si>
  <si>
    <t>Konec výstavby:</t>
  </si>
  <si>
    <t>Položek:</t>
  </si>
  <si>
    <t>32</t>
  </si>
  <si>
    <t>JKSO:</t>
  </si>
  <si>
    <t>Zpracoval:</t>
  </si>
  <si>
    <t>Ing František Dostál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</si>
  <si>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</si>
  <si>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</si>
  <si>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</si>
  <si>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</si>
  <si>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</si>
  <si>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</si>
  <si>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</si>
  <si>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</si>
  <si>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</si>
  <si>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</si>
  <si>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</si>
  <si>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</si>
  <si>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</si>
  <si>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</si>
  <si>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</si>
  <si>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</si>
  <si>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</si>
  <si>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</si>
  <si>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</si>
  <si>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</si>
  <si>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</si>
  <si>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</si>
  <si>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</si>
  <si>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</si>
  <si>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</si>
  <si>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</si>
  <si>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</si>
  <si>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</si>
  <si>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</si>
  <si>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</si>
  <si>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</si>
  <si>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</si>
  <si>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</si>
  <si>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</si>
  <si>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</si>
  <si>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</si>
  <si>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</si>
  <si>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</si>
  <si>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</si>
  <si>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</si>
  <si>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Stavební rozpočet</t>
  </si>
  <si>
    <t>Doba výstavby:</t>
  </si>
  <si>
    <t>Zpracováno dne:</t>
  </si>
  <si>
    <t>Č</t>
  </si>
  <si>
    <t>Objekt</t>
  </si>
  <si>
    <t>Kód</t>
  </si>
  <si>
    <t>Zkrácený popis</t>
  </si>
  <si>
    <t>M.j.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</si>
  <si>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</si>
  <si>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</si>
  <si>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</si>
  <si>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</si>
  <si>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</si>
  <si>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</si>
  <si>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</si>
  <si>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</si>
  <si>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</si>
  <si>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</si>
  <si>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</si>
  <si>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</si>
  <si>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</si>
  <si>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</si>
  <si>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</si>
  <si>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</si>
  <si>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</si>
  <si>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50</t>
  </si>
  <si>
    <t>Doplnění rmo 1-2</t>
  </si>
  <si>
    <t>HS</t>
  </si>
  <si>
    <t>210120803R00</t>
  </si>
  <si>
    <t>Chránič proudový dvoupólový do 40 A</t>
  </si>
  <si>
    <t>RTS II / 2013</t>
  </si>
  <si>
    <t>35889013.B</t>
  </si>
  <si>
    <t>Chránič proudový s nadproudovou ochranou 16/0,03A,10kA, 16B-1N-030AC</t>
  </si>
  <si>
    <t>0</t>
  </si>
  <si>
    <t>210110301R00</t>
  </si>
  <si>
    <t>Vypínače NUK 16, VS 10, 16, 32, 63 vestavné</t>
  </si>
  <si>
    <t>4</t>
  </si>
  <si>
    <t>35811758</t>
  </si>
  <si>
    <t>Spínač páčkový jednopólový 20A, 230V, 20-1</t>
  </si>
  <si>
    <t>111      R00</t>
  </si>
  <si>
    <t>Mimostaveništní doprava     čl.8-3a</t>
  </si>
  <si>
    <t>6</t>
  </si>
  <si>
    <t>131      R00</t>
  </si>
  <si>
    <t>Přesun do zóny m21,22,36,39</t>
  </si>
  <si>
    <t>MP</t>
  </si>
  <si>
    <t>7</t>
  </si>
  <si>
    <t>210010453R00</t>
  </si>
  <si>
    <t>Krabice pancéřová z PH 8111,odbočná se zapojením</t>
  </si>
  <si>
    <t>34571428</t>
  </si>
  <si>
    <t>Krabice elektroinstalační s průchodkami a svorkovnicí, IP54</t>
  </si>
  <si>
    <t>9</t>
  </si>
  <si>
    <t>210111031R00</t>
  </si>
  <si>
    <t>Zásuvka domovní v krabici - 2P+Z, venkovní</t>
  </si>
  <si>
    <t>10</t>
  </si>
  <si>
    <t>34551476.B</t>
  </si>
  <si>
    <t>Zásuvka jednonásobná s víčkem, šedá 16A, 230V, IP55</t>
  </si>
  <si>
    <t>11</t>
  </si>
  <si>
    <t>210810006R00</t>
  </si>
  <si>
    <t>Kabel CYKY-m 750 V 3 x 2,5 mm2 volně uložený</t>
  </si>
  <si>
    <t>12</t>
  </si>
  <si>
    <t>34111038</t>
  </si>
  <si>
    <t>Kabel silový s Cu jádrem 750 V CYKY-J 3  x 2,5 mm2</t>
  </si>
  <si>
    <t>13</t>
  </si>
  <si>
    <t>210010105A</t>
  </si>
  <si>
    <t>Lišta z PH bez krabic,ulož. pevně, 40 vkládací</t>
  </si>
  <si>
    <t>14</t>
  </si>
  <si>
    <t>34572175</t>
  </si>
  <si>
    <t>Lišta hranatá 30x25, délka 3m</t>
  </si>
  <si>
    <t>15</t>
  </si>
  <si>
    <t>210010122R00</t>
  </si>
  <si>
    <t>Trubka ochranná z PE, uložená volně, DN do 20,5 mm</t>
  </si>
  <si>
    <t>16</t>
  </si>
  <si>
    <t>34571051</t>
  </si>
  <si>
    <t>Trubka elektroinstal. ohebná LPE-1 d 22,9 mm</t>
  </si>
  <si>
    <t>17</t>
  </si>
  <si>
    <t>210010053R00</t>
  </si>
  <si>
    <t>Trubka oc.závitová ulož.volně/pod omítku, 21 mm</t>
  </si>
  <si>
    <t>18</t>
  </si>
  <si>
    <t>345700630000</t>
  </si>
  <si>
    <t>Trubka ocelová závitová fí 21</t>
  </si>
  <si>
    <t>19</t>
  </si>
  <si>
    <t>742</t>
  </si>
  <si>
    <t>Revize, měření</t>
  </si>
  <si>
    <t>hod</t>
  </si>
  <si>
    <t>20</t>
  </si>
  <si>
    <t>10001VD</t>
  </si>
  <si>
    <t>Práce nepředvídaní</t>
  </si>
  <si>
    <t>Kč</t>
  </si>
  <si>
    <t>21</t>
  </si>
  <si>
    <t>204      R00</t>
  </si>
  <si>
    <t>Zednické výpomoci M 21 podle čl.13-5b</t>
  </si>
  <si>
    <t>22</t>
  </si>
  <si>
    <t>201      R00</t>
  </si>
  <si>
    <t>Podíl přidružených výkonů   čl. 26</t>
  </si>
  <si>
    <t>M46</t>
  </si>
  <si>
    <t>Zemní práce při montážích</t>
  </si>
  <si>
    <t>23</t>
  </si>
  <si>
    <t>460200143RT2</t>
  </si>
  <si>
    <t>Výkop kabelové rýhy 35/60 cm  hor.3</t>
  </si>
  <si>
    <t>24</t>
  </si>
  <si>
    <t>460560143R00</t>
  </si>
  <si>
    <t>Zához rýhy 35/60 cm, hornina třídy 3</t>
  </si>
  <si>
    <t>25</t>
  </si>
  <si>
    <t>460420021R00</t>
  </si>
  <si>
    <t>Zřízení kab.lože v rýze do 65 cm z písku 5 cm</t>
  </si>
  <si>
    <t>26</t>
  </si>
  <si>
    <t>460490012RT1</t>
  </si>
  <si>
    <t>Fólie výstražná z PVC, šířka 33 cm, vč fólie</t>
  </si>
  <si>
    <t>27</t>
  </si>
  <si>
    <t>460510021R00</t>
  </si>
  <si>
    <t>Kabelový prostup z plast.trub, DN do 10,5 cm</t>
  </si>
  <si>
    <t>28</t>
  </si>
  <si>
    <t>460620013R00</t>
  </si>
  <si>
    <t>Provizorní úprava terénu v přírodní hornině 3</t>
  </si>
  <si>
    <t>29</t>
  </si>
  <si>
    <t>460680023R00</t>
  </si>
  <si>
    <t>Průraz zdivem v cihlové zdi tloušťky 45 cm</t>
  </si>
  <si>
    <t>30</t>
  </si>
  <si>
    <t>460700001R00</t>
  </si>
  <si>
    <t>Označení kabelového vedení</t>
  </si>
  <si>
    <t>31</t>
  </si>
  <si>
    <t>460921102R00</t>
  </si>
  <si>
    <t>Zaměření a zobrazení kabel. trasy na pevný bod</t>
  </si>
  <si>
    <t>583309990001</t>
  </si>
  <si>
    <t>Písek kopaný</t>
  </si>
  <si>
    <t>Celkem:</t>
  </si>
  <si>
    <t>Vodovodní potrubí D 25</t>
  </si>
  <si>
    <t>Vodovodní potrubí D 40</t>
  </si>
  <si>
    <t>Kanalizace z trub PVC SN4, DN 125 mm</t>
  </si>
  <si>
    <t>Kanalizace z trub PVC SN4, DN 160 mm</t>
  </si>
  <si>
    <t>Kanalizace z trub PVC SN4, DN 100 mm</t>
  </si>
  <si>
    <t>Zadavatel při zpracování zadávací dokumentace a položkového rozpočtu včetně projektové dokumentace</t>
  </si>
  <si>
    <t xml:space="preserve">postupoval v souladu se základními zásadami zadávacího řízení dle § 6 ZZVZ a s maximální snahou </t>
  </si>
  <si>
    <t xml:space="preserve">na vymezení technických standardů stavebních prací, jejichž splnění požaduje. </t>
  </si>
  <si>
    <t>Vzhledem k tomu, že běžně používané cenové soustavy mají ve svých databázích definovány i položky,</t>
  </si>
  <si>
    <t xml:space="preserve">u nichž je v textu použit i popis a označení reprezentativního materiálu, umožňuje zadavatel v takovém případě použít </t>
  </si>
  <si>
    <t xml:space="preserve">pro plnění veřejné zakázky i jiných, kvalitativně a technicky obdobných řešení, pokud zadávací podmínky </t>
  </si>
  <si>
    <t>výslovně nestanoví z objektivních důvodů jinak.</t>
  </si>
  <si>
    <t>Náklady na provedení skutečného zaměření stavby v rozsahu nezbytném.</t>
  </si>
  <si>
    <t>Odstranění a likvidace 8 ks betonových květináčů. Přesun 5ks stávajících dětských herních prvků a 7ks stolů a 10 ks laviček na dvůr TSM.</t>
  </si>
  <si>
    <t>Ochrana konstrukcí nopovou fólií Montáž nopové fólie svisle, včetně dodávky fólie (např. GUTTABETA N*)</t>
  </si>
  <si>
    <t>Ochrana konstrukcí nopovou fólií Montáž ukončovací lišty k nopové fólii, včetně dodávky lišty (např. GUTTABETA T20*)</t>
  </si>
  <si>
    <t>Příprava podkladu pod dlažby Penetrace podkladu pod dlažby, penetrační nátěr (např. Primer G*)</t>
  </si>
  <si>
    <t>Montáž podlah vnitřních z dlaždic keramických Zvláštní úpravy spár Spára podlaha - stěna, silikonem, (např. Mapesil AC (fa Mapei)*)</t>
  </si>
  <si>
    <t>* U těchto položek platí ustanovení technické zprávy D.1.1.a, str.8</t>
  </si>
  <si>
    <t>Dodávka a montáž herního prvku - koupačka váhy, přesná specifikace dle PD - VIZ. D.1.13 -  včetně kontroly nezávislého odborného technického kontrolora dětských hřišť a sportovišť (viz.TZ str. 14) a provozního řádu k prvku</t>
  </si>
  <si>
    <t>Dodávka a montáž herního prvku - houpačka hnízdo speciál, přesná specifikace dle PD - VIZ. D.1.14  -  včetně kontroly nezávislého odborného technického kontrolora dětských hřišť a sportovišť (viz.TZ str. 14) a provozního řádu k prvku</t>
  </si>
  <si>
    <t>Dodávka a montáž herního prvku - lanový most, přesná specifikace dle PD - VIZ. D.1.15 -  včetně kontroly nezávislého odborného technického kontrolora dětských hřišť a sportovišť (viz.TZ str. 14) a provozního řádu k prvku</t>
  </si>
  <si>
    <t>Dodávka a montáž herního prvku - slackline, přesná specifikace dle PD - VIZ. D.1.16 -  včetně kontroly nezávislého odborného technického kontrolora dětských hřišť a sportovišť (viz.TZ str. 14) a provozního řádu k prvku</t>
  </si>
  <si>
    <t>Dodávka a montáž herního prvku - zemní trampolíny, přesná specifikace dle PD - VIZ. D.1.17 -  včetně kontroly nezávislého odborného technického kontrolora dětských hřišť a sportovišť (viz.TZ str. 14) a provozního řádu k prvku</t>
  </si>
  <si>
    <t>Dodávka a montáž herníh prvku - skákací panák, přesná specifikace dle PD - VIZ. D.1.18 -  včetně kontroly nezávislého odborného technického kontrolora dětských hřišť a sportovišť (viz.TZ str. 14) a provozního řádu k prvku</t>
  </si>
  <si>
    <t>Dodávka a montáž herního prvku - fitness sestava, přesná specifikace dle PD - VIZ. D.1.22 -  včetně kontroly nezávislého odborného technického kontrolora dětských hřišť a sportovišť (viz.TZ str. 14) a provozního řádu k prvku</t>
  </si>
  <si>
    <t>Dodávka a montáž mobiliáře - lavice, přesná specifikace dle PD - VIZ. D.1.19</t>
  </si>
  <si>
    <t>Dodávka a montáž mobiliáře - tabule, přesná specifikace dle PD - VIZ. D.1.21 -  včetně kontroly nezávislého odborného technického kontrolora dětských hřišť a sportovišť (viz.TZ str. 14) a provozního řádu k prvku</t>
  </si>
  <si>
    <t>Dodávka a montáž mobiliáře - pítko, vřetně tlakového ventilu s časovačem a napojením na přívod vody, přesná specifikace dle PD - VIZ. D.1.23</t>
  </si>
  <si>
    <t>Dodávka a montáž mobiliáře - stojan na kola včetně monolitické části, přesná specifikace dle PD - D.1.24</t>
  </si>
  <si>
    <t>Dodávka a montáž mobiliáře - stůl, přesná specifikace dle PD - VIZ.D.1.19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</si>
</sst>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"/>
      <family val="2"/>
    </font>
    <font>
      <sz val="2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indexed="8"/>
      <name val="Arial"/>
      <family val="2"/>
    </font>
    <font>
      <sz val="18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1"/>
      <name val="Arial"/>
      <family val="2"/>
    </font>
    <font>
      <sz val="10"/>
      <color indexed="62"/>
      <name val="Arial"/>
      <family val="2"/>
    </font>
    <font>
      <sz val="9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3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2" fillId="0" borderId="0" xfId="2" applyFont="1" applyAlignment="1">
      <alignment vertical="center"/>
    </xf>
    <xf numFmtId="0" fontId="22" fillId="0" borderId="26" xfId="2" applyNumberFormat="1" applyFont="1" applyFill="1" applyBorder="1" applyAlignment="1" applyProtection="1">
      <alignment vertical="center"/>
    </xf>
    <xf numFmtId="49" fontId="25" fillId="6" borderId="37" xfId="2" applyNumberFormat="1" applyFont="1" applyFill="1" applyBorder="1" applyAlignment="1" applyProtection="1">
      <alignment horizontal="center" vertical="center"/>
    </xf>
    <xf numFmtId="49" fontId="27" fillId="0" borderId="47" xfId="2" applyNumberFormat="1" applyFont="1" applyFill="1" applyBorder="1" applyAlignment="1" applyProtection="1">
      <alignment horizontal="left" vertical="center"/>
    </xf>
    <xf numFmtId="49" fontId="28" fillId="0" borderId="37" xfId="2" applyNumberFormat="1" applyFont="1" applyFill="1" applyBorder="1" applyAlignment="1" applyProtection="1">
      <alignment horizontal="left" vertical="center"/>
    </xf>
    <xf numFmtId="4" fontId="28" fillId="0" borderId="37" xfId="2" applyNumberFormat="1" applyFont="1" applyFill="1" applyBorder="1" applyAlignment="1" applyProtection="1">
      <alignment horizontal="right" vertical="center"/>
    </xf>
    <xf numFmtId="49" fontId="27" fillId="0" borderId="48" xfId="2" applyNumberFormat="1" applyFont="1" applyFill="1" applyBorder="1" applyAlignment="1" applyProtection="1">
      <alignment horizontal="left" vertical="center"/>
    </xf>
    <xf numFmtId="49" fontId="28" fillId="0" borderId="37" xfId="2" applyNumberFormat="1" applyFont="1" applyFill="1" applyBorder="1" applyAlignment="1" applyProtection="1">
      <alignment horizontal="right" vertical="center"/>
    </xf>
    <xf numFmtId="0" fontId="22" fillId="0" borderId="18" xfId="2" applyNumberFormat="1" applyFont="1" applyFill="1" applyBorder="1" applyAlignment="1" applyProtection="1">
      <alignment vertical="center"/>
    </xf>
    <xf numFmtId="0" fontId="22" fillId="0" borderId="38" xfId="2" applyNumberFormat="1" applyFont="1" applyFill="1" applyBorder="1" applyAlignment="1" applyProtection="1">
      <alignment vertical="center"/>
    </xf>
    <xf numFmtId="4" fontId="28" fillId="0" borderId="49" xfId="2" applyNumberFormat="1" applyFont="1" applyFill="1" applyBorder="1" applyAlignment="1" applyProtection="1">
      <alignment horizontal="right" vertical="center"/>
    </xf>
    <xf numFmtId="0" fontId="22" fillId="0" borderId="50" xfId="2" applyNumberFormat="1" applyFont="1" applyFill="1" applyBorder="1" applyAlignment="1" applyProtection="1">
      <alignment vertical="center"/>
    </xf>
    <xf numFmtId="0" fontId="22" fillId="0" borderId="34" xfId="2" applyNumberFormat="1" applyFont="1" applyFill="1" applyBorder="1" applyAlignment="1" applyProtection="1">
      <alignment vertical="center"/>
    </xf>
    <xf numFmtId="0" fontId="22" fillId="0" borderId="45" xfId="2" applyNumberFormat="1" applyFont="1" applyFill="1" applyBorder="1" applyAlignment="1" applyProtection="1">
      <alignment vertical="center"/>
    </xf>
    <xf numFmtId="0" fontId="22" fillId="0" borderId="6" xfId="2" applyNumberFormat="1" applyFont="1" applyFill="1" applyBorder="1" applyAlignment="1" applyProtection="1">
      <alignment vertical="center"/>
    </xf>
    <xf numFmtId="4" fontId="27" fillId="6" borderId="36" xfId="2" applyNumberFormat="1" applyFont="1" applyFill="1" applyBorder="1" applyAlignment="1" applyProtection="1">
      <alignment horizontal="right" vertical="center"/>
    </xf>
    <xf numFmtId="0" fontId="22" fillId="0" borderId="10" xfId="2" applyNumberFormat="1" applyFont="1" applyFill="1" applyBorder="1" applyAlignment="1" applyProtection="1">
      <alignment vertical="center"/>
    </xf>
    <xf numFmtId="0" fontId="22" fillId="0" borderId="51" xfId="2" applyNumberFormat="1" applyFont="1" applyFill="1" applyBorder="1" applyAlignment="1" applyProtection="1">
      <alignment vertical="center"/>
    </xf>
    <xf numFmtId="0" fontId="22" fillId="0" borderId="1" xfId="2" applyNumberFormat="1" applyFont="1" applyFill="1" applyBorder="1" applyAlignment="1" applyProtection="1">
      <alignment vertical="center"/>
    </xf>
    <xf numFmtId="49" fontId="29" fillId="0" borderId="52" xfId="2" applyNumberFormat="1" applyFont="1" applyFill="1" applyBorder="1" applyAlignment="1" applyProtection="1">
      <alignment horizontal="left" vertical="center"/>
    </xf>
    <xf numFmtId="0" fontId="22" fillId="0" borderId="52" xfId="2" applyNumberFormat="1" applyFont="1" applyFill="1" applyBorder="1" applyAlignment="1" applyProtection="1">
      <alignment vertical="center"/>
    </xf>
    <xf numFmtId="49" fontId="31" fillId="0" borderId="56" xfId="2" applyNumberFormat="1" applyFont="1" applyFill="1" applyBorder="1" applyAlignment="1" applyProtection="1">
      <alignment horizontal="left" vertical="center"/>
    </xf>
    <xf numFmtId="49" fontId="31" fillId="0" borderId="57" xfId="2" applyNumberFormat="1" applyFont="1" applyFill="1" applyBorder="1" applyAlignment="1" applyProtection="1">
      <alignment horizontal="left" vertical="center"/>
    </xf>
    <xf numFmtId="49" fontId="31" fillId="0" borderId="57" xfId="2" applyNumberFormat="1" applyFont="1" applyFill="1" applyBorder="1" applyAlignment="1" applyProtection="1">
      <alignment horizontal="center" vertical="center"/>
    </xf>
    <xf numFmtId="49" fontId="31" fillId="0" borderId="58" xfId="2" applyNumberFormat="1" applyFont="1" applyFill="1" applyBorder="1" applyAlignment="1" applyProtection="1">
      <alignment horizontal="center" vertical="center"/>
    </xf>
    <xf numFmtId="49" fontId="31" fillId="0" borderId="59" xfId="2" applyNumberFormat="1" applyFont="1" applyFill="1" applyBorder="1" applyAlignment="1" applyProtection="1">
      <alignment horizontal="center" vertical="center"/>
    </xf>
    <xf numFmtId="49" fontId="32" fillId="0" borderId="60" xfId="2" applyNumberFormat="1" applyFont="1" applyFill="1" applyBorder="1" applyAlignment="1" applyProtection="1">
      <alignment horizontal="left" vertical="center"/>
    </xf>
    <xf numFmtId="49" fontId="32" fillId="0" borderId="61" xfId="2" applyNumberFormat="1" applyFont="1" applyFill="1" applyBorder="1" applyAlignment="1" applyProtection="1">
      <alignment horizontal="left" vertical="center"/>
    </xf>
    <xf numFmtId="49" fontId="31" fillId="0" borderId="61" xfId="2" applyNumberFormat="1" applyFont="1" applyFill="1" applyBorder="1" applyAlignment="1" applyProtection="1">
      <alignment horizontal="left" vertical="center"/>
    </xf>
    <xf numFmtId="49" fontId="31" fillId="0" borderId="62" xfId="2" applyNumberFormat="1" applyFont="1" applyFill="1" applyBorder="1" applyAlignment="1" applyProtection="1">
      <alignment horizontal="right" vertical="center"/>
    </xf>
    <xf numFmtId="49" fontId="31" fillId="0" borderId="63" xfId="2" applyNumberFormat="1" applyFont="1" applyFill="1" applyBorder="1" applyAlignment="1" applyProtection="1">
      <alignment horizontal="center" vertical="center"/>
    </xf>
    <xf numFmtId="49" fontId="31" fillId="0" borderId="49" xfId="2" applyNumberFormat="1" applyFont="1" applyFill="1" applyBorder="1" applyAlignment="1" applyProtection="1">
      <alignment horizontal="center" vertical="center"/>
    </xf>
    <xf numFmtId="49" fontId="31" fillId="0" borderId="64" xfId="2" applyNumberFormat="1" applyFont="1" applyFill="1" applyBorder="1" applyAlignment="1" applyProtection="1">
      <alignment horizontal="center" vertical="center"/>
    </xf>
    <xf numFmtId="49" fontId="31" fillId="0" borderId="65" xfId="2" applyNumberFormat="1" applyFont="1" applyFill="1" applyBorder="1" applyAlignment="1" applyProtection="1">
      <alignment horizontal="center" vertical="center"/>
    </xf>
    <xf numFmtId="49" fontId="23" fillId="6" borderId="0" xfId="2" applyNumberFormat="1" applyFont="1" applyFill="1" applyBorder="1" applyAlignment="1" applyProtection="1">
      <alignment horizontal="right" vertical="center"/>
    </xf>
    <xf numFmtId="49" fontId="32" fillId="6" borderId="52" xfId="2" applyNumberFormat="1" applyFont="1" applyFill="1" applyBorder="1" applyAlignment="1" applyProtection="1">
      <alignment horizontal="left" vertical="center"/>
    </xf>
    <xf numFmtId="49" fontId="31" fillId="6" borderId="52" xfId="2" applyNumberFormat="1" applyFont="1" applyFill="1" applyBorder="1" applyAlignment="1" applyProtection="1">
      <alignment horizontal="left" vertical="center"/>
    </xf>
    <xf numFmtId="4" fontId="31" fillId="6" borderId="52" xfId="2" applyNumberFormat="1" applyFont="1" applyFill="1" applyBorder="1" applyAlignment="1" applyProtection="1">
      <alignment horizontal="right" vertical="center"/>
    </xf>
    <xf numFmtId="49" fontId="31" fillId="6" borderId="52" xfId="2" applyNumberFormat="1" applyFont="1" applyFill="1" applyBorder="1" applyAlignment="1" applyProtection="1">
      <alignment horizontal="right" vertical="center"/>
    </xf>
    <xf numFmtId="4" fontId="23" fillId="6" borderId="0" xfId="2" applyNumberFormat="1" applyFont="1" applyFill="1" applyBorder="1" applyAlignment="1" applyProtection="1">
      <alignment horizontal="right" vertical="center"/>
    </xf>
    <xf numFmtId="49" fontId="32" fillId="0" borderId="0" xfId="2" applyNumberFormat="1" applyFont="1" applyFill="1" applyBorder="1" applyAlignment="1" applyProtection="1">
      <alignment horizontal="left" vertical="center"/>
    </xf>
    <xf numFmtId="4" fontId="32" fillId="0" borderId="0" xfId="2" applyNumberFormat="1" applyFont="1" applyFill="1" applyBorder="1" applyAlignment="1" applyProtection="1">
      <alignment horizontal="right" vertical="center"/>
    </xf>
    <xf numFmtId="4" fontId="32" fillId="7" borderId="0" xfId="2" applyNumberFormat="1" applyFont="1" applyFill="1" applyBorder="1" applyAlignment="1" applyProtection="1">
      <alignment horizontal="right" vertical="center"/>
    </xf>
    <xf numFmtId="49" fontId="32" fillId="0" borderId="0" xfId="2" applyNumberFormat="1" applyFont="1" applyFill="1" applyBorder="1" applyAlignment="1" applyProtection="1">
      <alignment horizontal="right" vertical="center"/>
    </xf>
    <xf numFmtId="49" fontId="33" fillId="0" borderId="0" xfId="2" applyNumberFormat="1" applyFont="1" applyFill="1" applyBorder="1" applyAlignment="1" applyProtection="1">
      <alignment horizontal="right" vertical="center"/>
    </xf>
    <xf numFmtId="4" fontId="33" fillId="0" borderId="0" xfId="2" applyNumberFormat="1" applyFont="1" applyFill="1" applyBorder="1" applyAlignment="1" applyProtection="1">
      <alignment horizontal="right" vertical="center"/>
    </xf>
    <xf numFmtId="4" fontId="22" fillId="0" borderId="0" xfId="2" applyNumberFormat="1" applyFont="1" applyFill="1" applyBorder="1" applyAlignment="1" applyProtection="1">
      <alignment horizontal="right" vertical="center"/>
    </xf>
    <xf numFmtId="49" fontId="34" fillId="0" borderId="0" xfId="2" applyNumberFormat="1" applyFont="1" applyFill="1" applyBorder="1" applyAlignment="1" applyProtection="1">
      <alignment horizontal="right" vertical="center"/>
    </xf>
    <xf numFmtId="4" fontId="34" fillId="0" borderId="0" xfId="2" applyNumberFormat="1" applyFont="1" applyFill="1" applyBorder="1" applyAlignment="1" applyProtection="1">
      <alignment horizontal="right" vertical="center"/>
    </xf>
    <xf numFmtId="49" fontId="32" fillId="6" borderId="0" xfId="2" applyNumberFormat="1" applyFont="1" applyFill="1" applyBorder="1" applyAlignment="1" applyProtection="1">
      <alignment horizontal="left" vertical="center"/>
    </xf>
    <xf numFmtId="49" fontId="31" fillId="6" borderId="0" xfId="2" applyNumberFormat="1" applyFont="1" applyFill="1" applyBorder="1" applyAlignment="1" applyProtection="1">
      <alignment horizontal="left" vertical="center"/>
    </xf>
    <xf numFmtId="4" fontId="31" fillId="6" borderId="0" xfId="2" applyNumberFormat="1" applyFont="1" applyFill="1" applyBorder="1" applyAlignment="1" applyProtection="1">
      <alignment horizontal="right" vertical="center"/>
    </xf>
    <xf numFmtId="49" fontId="31" fillId="6" borderId="0" xfId="2" applyNumberFormat="1" applyFont="1" applyFill="1" applyBorder="1" applyAlignment="1" applyProtection="1">
      <alignment horizontal="right" vertical="center"/>
    </xf>
    <xf numFmtId="49" fontId="32" fillId="0" borderId="6" xfId="2" applyNumberFormat="1" applyFont="1" applyFill="1" applyBorder="1" applyAlignment="1" applyProtection="1">
      <alignment horizontal="left" vertical="center"/>
    </xf>
    <xf numFmtId="4" fontId="32" fillId="0" borderId="6" xfId="2" applyNumberFormat="1" applyFont="1" applyFill="1" applyBorder="1" applyAlignment="1" applyProtection="1">
      <alignment horizontal="right" vertical="center"/>
    </xf>
    <xf numFmtId="4" fontId="32" fillId="7" borderId="6" xfId="2" applyNumberFormat="1" applyFont="1" applyFill="1" applyBorder="1" applyAlignment="1" applyProtection="1">
      <alignment horizontal="right" vertical="center"/>
    </xf>
    <xf numFmtId="49" fontId="32" fillId="0" borderId="6" xfId="2" applyNumberFormat="1" applyFont="1" applyFill="1" applyBorder="1" applyAlignment="1" applyProtection="1">
      <alignment horizontal="right" vertical="center"/>
    </xf>
    <xf numFmtId="0" fontId="32" fillId="0" borderId="18" xfId="2" applyNumberFormat="1" applyFont="1" applyFill="1" applyBorder="1" applyAlignment="1" applyProtection="1">
      <alignment vertical="center"/>
    </xf>
    <xf numFmtId="4" fontId="31" fillId="0" borderId="18" xfId="2" applyNumberFormat="1" applyFont="1" applyFill="1" applyBorder="1" applyAlignment="1" applyProtection="1">
      <alignment horizontal="right" vertical="center"/>
    </xf>
    <xf numFmtId="4" fontId="23" fillId="0" borderId="0" xfId="2" applyNumberFormat="1" applyFont="1" applyFill="1" applyBorder="1" applyAlignment="1" applyProtection="1">
      <alignment horizontal="right" vertical="center"/>
    </xf>
    <xf numFmtId="49" fontId="29" fillId="0" borderId="0" xfId="2" applyNumberFormat="1" applyFont="1" applyFill="1" applyBorder="1" applyAlignment="1" applyProtection="1">
      <alignment horizontal="left" vertical="center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49" fontId="21" fillId="0" borderId="6" xfId="2" applyNumberFormat="1" applyFont="1" applyFill="1" applyBorder="1" applyAlignment="1" applyProtection="1">
      <alignment horizontal="center" vertical="center"/>
    </xf>
    <xf numFmtId="0" fontId="21" fillId="0" borderId="6" xfId="2" applyNumberFormat="1" applyFont="1" applyFill="1" applyBorder="1" applyAlignment="1" applyProtection="1">
      <alignment horizontal="center" vertical="center"/>
    </xf>
    <xf numFmtId="0" fontId="22" fillId="0" borderId="27" xfId="2" applyNumberFormat="1" applyFont="1" applyFill="1" applyBorder="1" applyAlignment="1" applyProtection="1">
      <alignment horizontal="left" vertical="center" wrapText="1"/>
    </xf>
    <xf numFmtId="0" fontId="22" fillId="0" borderId="18" xfId="2" applyNumberFormat="1" applyFont="1" applyFill="1" applyBorder="1" applyAlignment="1" applyProtection="1">
      <alignment horizontal="left" vertical="center"/>
    </xf>
    <xf numFmtId="0" fontId="22" fillId="0" borderId="26" xfId="2" applyNumberFormat="1" applyFont="1" applyFill="1" applyBorder="1" applyAlignment="1" applyProtection="1">
      <alignment horizontal="left" vertical="center"/>
    </xf>
    <xf numFmtId="0" fontId="22" fillId="0" borderId="0" xfId="2" applyNumberFormat="1" applyFont="1" applyFill="1" applyBorder="1" applyAlignment="1" applyProtection="1">
      <alignment horizontal="left" vertical="center"/>
    </xf>
    <xf numFmtId="0" fontId="23" fillId="0" borderId="18" xfId="2" applyNumberFormat="1" applyFont="1" applyFill="1" applyBorder="1" applyAlignment="1" applyProtection="1">
      <alignment horizontal="left" vertical="center" wrapText="1"/>
    </xf>
    <xf numFmtId="0" fontId="23" fillId="0" borderId="18" xfId="2" applyNumberFormat="1" applyFont="1" applyFill="1" applyBorder="1" applyAlignment="1" applyProtection="1">
      <alignment horizontal="left" vertical="center"/>
    </xf>
    <xf numFmtId="0" fontId="23" fillId="0" borderId="0" xfId="2" applyNumberFormat="1" applyFont="1" applyFill="1" applyBorder="1" applyAlignment="1" applyProtection="1">
      <alignment horizontal="left" vertical="center"/>
    </xf>
    <xf numFmtId="0" fontId="22" fillId="0" borderId="18" xfId="2" applyNumberFormat="1" applyFont="1" applyFill="1" applyBorder="1" applyAlignment="1" applyProtection="1">
      <alignment horizontal="left" vertical="center" wrapText="1"/>
    </xf>
    <xf numFmtId="49" fontId="22" fillId="0" borderId="38" xfId="2" applyNumberFormat="1" applyFont="1" applyFill="1" applyBorder="1" applyAlignment="1" applyProtection="1">
      <alignment horizontal="left" vertical="center"/>
    </xf>
    <xf numFmtId="0" fontId="22" fillId="0" borderId="45" xfId="2" applyNumberFormat="1" applyFont="1" applyFill="1" applyBorder="1" applyAlignment="1" applyProtection="1">
      <alignment horizontal="left" vertical="center"/>
    </xf>
    <xf numFmtId="49" fontId="22" fillId="0" borderId="45" xfId="2" applyNumberFormat="1" applyFont="1" applyFill="1" applyBorder="1" applyAlignment="1" applyProtection="1">
      <alignment horizontal="left" vertical="center"/>
    </xf>
    <xf numFmtId="0" fontId="22" fillId="0" borderId="26" xfId="2" applyNumberFormat="1" applyFont="1" applyFill="1" applyBorder="1" applyAlignment="1" applyProtection="1">
      <alignment horizontal="left" vertical="center" wrapText="1"/>
    </xf>
    <xf numFmtId="0" fontId="22" fillId="0" borderId="0" xfId="2" applyNumberFormat="1" applyFont="1" applyFill="1" applyBorder="1" applyAlignment="1" applyProtection="1">
      <alignment horizontal="left" vertical="center" wrapText="1"/>
    </xf>
    <xf numFmtId="14" fontId="22" fillId="0" borderId="45" xfId="2" applyNumberFormat="1" applyFont="1" applyFill="1" applyBorder="1" applyAlignment="1" applyProtection="1">
      <alignment horizontal="left" vertical="center"/>
    </xf>
    <xf numFmtId="0" fontId="22" fillId="0" borderId="46" xfId="2" applyNumberFormat="1" applyFont="1" applyFill="1" applyBorder="1" applyAlignment="1" applyProtection="1">
      <alignment horizontal="left" vertical="center"/>
    </xf>
    <xf numFmtId="14" fontId="22" fillId="0" borderId="0" xfId="2" applyNumberFormat="1" applyFont="1" applyFill="1" applyBorder="1" applyAlignment="1" applyProtection="1">
      <alignment horizontal="left" vertical="center"/>
    </xf>
    <xf numFmtId="49" fontId="22" fillId="0" borderId="0" xfId="2" applyNumberFormat="1" applyFont="1" applyFill="1" applyBorder="1" applyAlignment="1" applyProtection="1">
      <alignment horizontal="left" vertical="center"/>
    </xf>
    <xf numFmtId="0" fontId="22" fillId="0" borderId="10" xfId="2" applyNumberFormat="1" applyFont="1" applyFill="1" applyBorder="1" applyAlignment="1" applyProtection="1">
      <alignment horizontal="left" vertical="center"/>
    </xf>
    <xf numFmtId="0" fontId="22" fillId="0" borderId="6" xfId="2" applyNumberFormat="1" applyFont="1" applyFill="1" applyBorder="1" applyAlignment="1" applyProtection="1">
      <alignment horizontal="left" vertical="center"/>
    </xf>
    <xf numFmtId="49" fontId="24" fillId="0" borderId="35" xfId="2" applyNumberFormat="1" applyFont="1" applyFill="1" applyBorder="1" applyAlignment="1" applyProtection="1">
      <alignment horizontal="center" vertical="center"/>
    </xf>
    <xf numFmtId="0" fontId="24" fillId="0" borderId="35" xfId="2" applyNumberFormat="1" applyFont="1" applyFill="1" applyBorder="1" applyAlignment="1" applyProtection="1">
      <alignment horizontal="center" vertical="center"/>
    </xf>
    <xf numFmtId="49" fontId="26" fillId="0" borderId="34" xfId="2" applyNumberFormat="1" applyFont="1" applyFill="1" applyBorder="1" applyAlignment="1" applyProtection="1">
      <alignment horizontal="left" vertical="center"/>
    </xf>
    <xf numFmtId="0" fontId="26" fillId="0" borderId="36" xfId="2" applyNumberFormat="1" applyFont="1" applyFill="1" applyBorder="1" applyAlignment="1" applyProtection="1">
      <alignment horizontal="left" vertical="center"/>
    </xf>
    <xf numFmtId="49" fontId="28" fillId="0" borderId="34" xfId="2" applyNumberFormat="1" applyFont="1" applyFill="1" applyBorder="1" applyAlignment="1" applyProtection="1">
      <alignment horizontal="left" vertical="center"/>
    </xf>
    <xf numFmtId="0" fontId="28" fillId="0" borderId="36" xfId="2" applyNumberFormat="1" applyFont="1" applyFill="1" applyBorder="1" applyAlignment="1" applyProtection="1">
      <alignment horizontal="left" vertical="center"/>
    </xf>
    <xf numFmtId="49" fontId="27" fillId="0" borderId="34" xfId="2" applyNumberFormat="1" applyFont="1" applyFill="1" applyBorder="1" applyAlignment="1" applyProtection="1">
      <alignment horizontal="left" vertical="center"/>
    </xf>
    <xf numFmtId="0" fontId="27" fillId="0" borderId="36" xfId="2" applyNumberFormat="1" applyFont="1" applyFill="1" applyBorder="1" applyAlignment="1" applyProtection="1">
      <alignment horizontal="left" vertical="center"/>
    </xf>
    <xf numFmtId="49" fontId="27" fillId="6" borderId="34" xfId="2" applyNumberFormat="1" applyFont="1" applyFill="1" applyBorder="1" applyAlignment="1" applyProtection="1">
      <alignment horizontal="left" vertical="center"/>
    </xf>
    <xf numFmtId="0" fontId="27" fillId="6" borderId="35" xfId="2" applyNumberFormat="1" applyFont="1" applyFill="1" applyBorder="1" applyAlignment="1" applyProtection="1">
      <alignment horizontal="left" vertical="center"/>
    </xf>
    <xf numFmtId="49" fontId="28" fillId="0" borderId="20" xfId="2" applyNumberFormat="1" applyFont="1" applyFill="1" applyBorder="1" applyAlignment="1" applyProtection="1">
      <alignment horizontal="left" vertical="center"/>
    </xf>
    <xf numFmtId="0" fontId="28" fillId="0" borderId="52" xfId="2" applyNumberFormat="1" applyFont="1" applyFill="1" applyBorder="1" applyAlignment="1" applyProtection="1">
      <alignment horizontal="left" vertical="center"/>
    </xf>
    <xf numFmtId="0" fontId="28" fillId="0" borderId="53" xfId="2" applyNumberFormat="1" applyFont="1" applyFill="1" applyBorder="1" applyAlignment="1" applyProtection="1">
      <alignment horizontal="left" vertical="center"/>
    </xf>
    <xf numFmtId="49" fontId="28" fillId="0" borderId="1" xfId="2" applyNumberFormat="1" applyFont="1" applyFill="1" applyBorder="1" applyAlignment="1" applyProtection="1">
      <alignment horizontal="left" vertical="center"/>
    </xf>
    <xf numFmtId="0" fontId="28" fillId="0" borderId="0" xfId="2" applyNumberFormat="1" applyFont="1" applyFill="1" applyBorder="1" applyAlignment="1" applyProtection="1">
      <alignment horizontal="left" vertical="center"/>
    </xf>
    <xf numFmtId="0" fontId="28" fillId="0" borderId="2" xfId="2" applyNumberFormat="1" applyFont="1" applyFill="1" applyBorder="1" applyAlignment="1" applyProtection="1">
      <alignment horizontal="left" vertical="center"/>
    </xf>
    <xf numFmtId="49" fontId="28" fillId="0" borderId="3" xfId="2" applyNumberFormat="1" applyFont="1" applyFill="1" applyBorder="1" applyAlignment="1" applyProtection="1">
      <alignment horizontal="left" vertical="center"/>
    </xf>
    <xf numFmtId="0" fontId="28" fillId="0" borderId="4" xfId="2" applyNumberFormat="1" applyFont="1" applyFill="1" applyBorder="1" applyAlignment="1" applyProtection="1">
      <alignment horizontal="left" vertical="center"/>
    </xf>
    <xf numFmtId="0" fontId="28" fillId="0" borderId="5" xfId="2" applyNumberFormat="1" applyFont="1" applyFill="1" applyBorder="1" applyAlignment="1" applyProtection="1">
      <alignment horizontal="left" vertical="center"/>
    </xf>
    <xf numFmtId="49" fontId="30" fillId="0" borderId="6" xfId="2" applyNumberFormat="1" applyFont="1" applyFill="1" applyBorder="1" applyAlignment="1" applyProtection="1">
      <alignment horizontal="center" vertical="center"/>
    </xf>
    <xf numFmtId="0" fontId="30" fillId="0" borderId="6" xfId="2" applyNumberFormat="1" applyFont="1" applyFill="1" applyBorder="1" applyAlignment="1" applyProtection="1">
      <alignment horizontal="center" vertical="center"/>
    </xf>
    <xf numFmtId="49" fontId="22" fillId="0" borderId="18" xfId="2" applyNumberFormat="1" applyFont="1" applyFill="1" applyBorder="1" applyAlignment="1" applyProtection="1">
      <alignment horizontal="left" vertical="center"/>
    </xf>
    <xf numFmtId="0" fontId="22" fillId="0" borderId="38" xfId="2" applyNumberFormat="1" applyFont="1" applyFill="1" applyBorder="1" applyAlignment="1" applyProtection="1">
      <alignment horizontal="left" vertical="center"/>
    </xf>
    <xf numFmtId="0" fontId="22" fillId="0" borderId="4" xfId="2" applyNumberFormat="1" applyFont="1" applyFill="1" applyBorder="1" applyAlignment="1" applyProtection="1">
      <alignment horizontal="left" vertical="center"/>
    </xf>
    <xf numFmtId="0" fontId="22" fillId="0" borderId="55" xfId="2" applyNumberFormat="1" applyFont="1" applyFill="1" applyBorder="1" applyAlignment="1" applyProtection="1">
      <alignment horizontal="left" vertical="center"/>
    </xf>
    <xf numFmtId="0" fontId="22" fillId="0" borderId="54" xfId="2" applyNumberFormat="1" applyFont="1" applyFill="1" applyBorder="1" applyAlignment="1" applyProtection="1">
      <alignment horizontal="left" vertical="center"/>
    </xf>
    <xf numFmtId="49" fontId="31" fillId="0" borderId="23" xfId="2" applyNumberFormat="1" applyFont="1" applyFill="1" applyBorder="1" applyAlignment="1" applyProtection="1">
      <alignment horizontal="center" vertical="center"/>
    </xf>
    <xf numFmtId="0" fontId="31" fillId="0" borderId="24" xfId="2" applyNumberFormat="1" applyFont="1" applyFill="1" applyBorder="1" applyAlignment="1" applyProtection="1">
      <alignment horizontal="center" vertical="center"/>
    </xf>
    <xf numFmtId="0" fontId="31" fillId="0" borderId="25" xfId="2" applyNumberFormat="1" applyFont="1" applyFill="1" applyBorder="1" applyAlignment="1" applyProtection="1">
      <alignment horizontal="center" vertical="center"/>
    </xf>
    <xf numFmtId="49" fontId="31" fillId="6" borderId="52" xfId="2" applyNumberFormat="1" applyFont="1" applyFill="1" applyBorder="1" applyAlignment="1" applyProtection="1">
      <alignment horizontal="left" vertical="center"/>
    </xf>
    <xf numFmtId="0" fontId="31" fillId="6" borderId="52" xfId="2" applyNumberFormat="1" applyFont="1" applyFill="1" applyBorder="1" applyAlignment="1" applyProtection="1">
      <alignment horizontal="left" vertical="center"/>
    </xf>
    <xf numFmtId="49" fontId="31" fillId="6" borderId="0" xfId="2" applyNumberFormat="1" applyFont="1" applyFill="1" applyBorder="1" applyAlignment="1" applyProtection="1">
      <alignment horizontal="left" vertical="center"/>
    </xf>
    <xf numFmtId="0" fontId="31" fillId="6" borderId="0" xfId="2" applyNumberFormat="1" applyFont="1" applyFill="1" applyBorder="1" applyAlignment="1" applyProtection="1">
      <alignment horizontal="left" vertical="center"/>
    </xf>
    <xf numFmtId="49" fontId="31" fillId="0" borderId="18" xfId="2" applyNumberFormat="1" applyFont="1" applyFill="1" applyBorder="1" applyAlignment="1" applyProtection="1">
      <alignment horizontal="left" vertical="center"/>
    </xf>
    <xf numFmtId="0" fontId="31" fillId="0" borderId="18" xfId="2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2019\04_ATRIUM%20KOMENSK&#201;HO\18_AKTUAL_ROZPO&#268;ET_VV\PM-19-074%20PM-19-074%20&#8222;Revitalizace%20atria%20Z&#352;%20Komensk&#233;ho%2066%20v%20Nov&#233;m%20Ji&#269;&#237;n&#283;&#8220;_RZP%202.3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2019\04_ATRIUM%20KOMENSK&#201;HO\18_AKTUAL_ROZPO&#268;ET_VV\PM-19-074%20PM-19-074%20&#8222;Revitalizace%20atria%20Z&#352;%20Komensk&#233;ho%2066%20v%20Nov&#233;m%20Ji&#269;&#237;n&#283;&#8220;_RZP%2011.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01 OVN Pol"/>
      <sheetName val="01 SO 01 Pol"/>
      <sheetName val="01 SO 02 Pol"/>
      <sheetName val="01 SO 03 Pol"/>
      <sheetName val="01 SO 04 Pol"/>
      <sheetName val="01 SO 05 Pol"/>
      <sheetName val="Krycí list rozpočtu"/>
      <sheetName val="Stavební rozpočet"/>
    </sheetNames>
    <sheetDataSet>
      <sheetData sheetId="0">
        <row r="22">
          <cell r="G22">
            <v>0</v>
          </cell>
        </row>
        <row r="23">
          <cell r="G23">
            <v>0</v>
          </cell>
        </row>
        <row r="24">
          <cell r="G24">
            <v>6512192.3700000001</v>
          </cell>
        </row>
        <row r="25">
          <cell r="G25">
            <v>1367560</v>
          </cell>
        </row>
        <row r="28">
          <cell r="G28">
            <v>7879752</v>
          </cell>
          <cell r="J28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01 OVN Pol"/>
      <sheetName val="01 SO 01 Pol"/>
      <sheetName val="01 SO 02 Pol"/>
      <sheetName val="01 SO 03 Pol"/>
      <sheetName val="01 SO 04 Pol"/>
      <sheetName val="01 SO 05 Pol"/>
      <sheetName val="Krycí list rozpočtu"/>
      <sheetName val="Stavební rozpočet"/>
    </sheetNames>
    <sheetDataSet>
      <sheetData sheetId="0">
        <row r="22">
          <cell r="G22">
            <v>0</v>
          </cell>
        </row>
        <row r="23">
          <cell r="G23">
            <v>0</v>
          </cell>
        </row>
        <row r="24">
          <cell r="G24">
            <v>6690388.7300000004</v>
          </cell>
        </row>
        <row r="25">
          <cell r="G25">
            <v>1404982</v>
          </cell>
        </row>
        <row r="28">
          <cell r="G28">
            <v>8095371</v>
          </cell>
          <cell r="J28" t="str">
            <v>CZK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ColWidth="8.77734375"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57" t="s">
        <v>39</v>
      </c>
      <c r="B2" s="257"/>
      <c r="C2" s="257"/>
      <c r="D2" s="257"/>
      <c r="E2" s="257"/>
      <c r="F2" s="257"/>
      <c r="G2" s="257"/>
    </row>
  </sheetData>
  <sheetProtection password="E4DE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opLeftCell="B2" zoomScaleSheetLayoutView="75" workbookViewId="0">
      <selection activeCell="B84" sqref="B8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4414062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92" t="s">
        <v>41</v>
      </c>
      <c r="C1" s="293"/>
      <c r="D1" s="293"/>
      <c r="E1" s="293"/>
      <c r="F1" s="293"/>
      <c r="G1" s="293"/>
      <c r="H1" s="293"/>
      <c r="I1" s="293"/>
      <c r="J1" s="294"/>
    </row>
    <row r="2" spans="1:15" ht="36" customHeight="1" x14ac:dyDescent="0.25">
      <c r="A2" s="2"/>
      <c r="B2" s="73" t="s">
        <v>22</v>
      </c>
      <c r="C2" s="74"/>
      <c r="D2" s="75" t="s">
        <v>43</v>
      </c>
      <c r="E2" s="298" t="s">
        <v>44</v>
      </c>
      <c r="F2" s="299"/>
      <c r="G2" s="299"/>
      <c r="H2" s="299"/>
      <c r="I2" s="299"/>
      <c r="J2" s="300"/>
      <c r="O2" s="1"/>
    </row>
    <row r="3" spans="1:15" ht="0.45" customHeight="1" x14ac:dyDescent="0.25">
      <c r="A3" s="2"/>
      <c r="B3" s="76"/>
      <c r="C3" s="77"/>
      <c r="D3" s="78"/>
      <c r="E3" s="282"/>
      <c r="F3" s="282"/>
      <c r="G3" s="282"/>
      <c r="H3" s="282"/>
      <c r="I3" s="282"/>
      <c r="J3" s="283"/>
    </row>
    <row r="4" spans="1:15" ht="24" customHeight="1" x14ac:dyDescent="0.25">
      <c r="A4" s="2"/>
      <c r="B4" s="31" t="s">
        <v>42</v>
      </c>
      <c r="D4" s="286" t="s">
        <v>45</v>
      </c>
      <c r="E4" s="287"/>
      <c r="F4" s="287"/>
      <c r="G4" s="287"/>
      <c r="H4" s="18" t="s">
        <v>40</v>
      </c>
      <c r="I4" s="80" t="s">
        <v>49</v>
      </c>
      <c r="J4" s="8"/>
    </row>
    <row r="5" spans="1:15" ht="15.75" customHeight="1" x14ac:dyDescent="0.25">
      <c r="A5" s="2"/>
      <c r="B5" s="28"/>
      <c r="C5" s="53"/>
      <c r="D5" s="288" t="s">
        <v>46</v>
      </c>
      <c r="E5" s="289"/>
      <c r="F5" s="289"/>
      <c r="G5" s="289"/>
      <c r="H5" s="18" t="s">
        <v>34</v>
      </c>
      <c r="I5" s="80" t="s">
        <v>50</v>
      </c>
      <c r="J5" s="8"/>
    </row>
    <row r="6" spans="1:15" ht="15.75" customHeight="1" x14ac:dyDescent="0.25">
      <c r="A6" s="2"/>
      <c r="B6" s="29"/>
      <c r="C6" s="54"/>
      <c r="D6" s="79" t="s">
        <v>48</v>
      </c>
      <c r="E6" s="290" t="s">
        <v>47</v>
      </c>
      <c r="F6" s="291"/>
      <c r="G6" s="291"/>
      <c r="H6" s="24"/>
      <c r="I6" s="23"/>
      <c r="J6" s="34"/>
    </row>
    <row r="7" spans="1:15" ht="24" hidden="1" customHeight="1" x14ac:dyDescent="0.25">
      <c r="A7" s="2"/>
      <c r="B7" s="31" t="s">
        <v>20</v>
      </c>
      <c r="D7" s="81" t="s">
        <v>51</v>
      </c>
      <c r="H7" s="18" t="s">
        <v>40</v>
      </c>
      <c r="I7" s="80" t="s">
        <v>55</v>
      </c>
      <c r="J7" s="8"/>
    </row>
    <row r="8" spans="1:15" ht="15.75" hidden="1" customHeight="1" x14ac:dyDescent="0.25">
      <c r="A8" s="2"/>
      <c r="B8" s="2"/>
      <c r="D8" s="81" t="s">
        <v>52</v>
      </c>
      <c r="H8" s="18" t="s">
        <v>34</v>
      </c>
      <c r="I8" s="22"/>
      <c r="J8" s="8"/>
    </row>
    <row r="9" spans="1:15" ht="15.75" hidden="1" customHeight="1" x14ac:dyDescent="0.25">
      <c r="A9" s="2"/>
      <c r="B9" s="35"/>
      <c r="C9" s="54"/>
      <c r="D9" s="79" t="s">
        <v>54</v>
      </c>
      <c r="E9" s="82" t="s">
        <v>53</v>
      </c>
      <c r="F9" s="24"/>
      <c r="G9" s="14"/>
      <c r="H9" s="14"/>
      <c r="I9" s="36"/>
      <c r="J9" s="34"/>
    </row>
    <row r="10" spans="1:15" ht="24" customHeight="1" x14ac:dyDescent="0.25">
      <c r="A10" s="2"/>
      <c r="B10" s="31" t="s">
        <v>19</v>
      </c>
      <c r="D10" s="302"/>
      <c r="E10" s="302"/>
      <c r="F10" s="302"/>
      <c r="G10" s="302"/>
      <c r="H10" s="18" t="s">
        <v>40</v>
      </c>
      <c r="I10" s="84"/>
      <c r="J10" s="8"/>
    </row>
    <row r="11" spans="1:15" ht="15.75" customHeight="1" x14ac:dyDescent="0.25">
      <c r="A11" s="2"/>
      <c r="B11" s="28"/>
      <c r="C11" s="53"/>
      <c r="D11" s="281"/>
      <c r="E11" s="281"/>
      <c r="F11" s="281"/>
      <c r="G11" s="281"/>
      <c r="H11" s="18" t="s">
        <v>34</v>
      </c>
      <c r="I11" s="85"/>
      <c r="J11" s="8"/>
    </row>
    <row r="12" spans="1:15" ht="15.75" customHeight="1" x14ac:dyDescent="0.25">
      <c r="A12" s="2"/>
      <c r="B12" s="29"/>
      <c r="C12" s="54"/>
      <c r="D12" s="83"/>
      <c r="E12" s="284"/>
      <c r="F12" s="285"/>
      <c r="G12" s="285"/>
      <c r="H12" s="19"/>
      <c r="I12" s="23"/>
      <c r="J12" s="34"/>
    </row>
    <row r="13" spans="1:15" ht="24" customHeight="1" x14ac:dyDescent="0.25">
      <c r="A13" s="2"/>
      <c r="B13" s="43" t="s">
        <v>21</v>
      </c>
      <c r="C13" s="55"/>
      <c r="D13" s="56"/>
      <c r="E13" s="57"/>
      <c r="F13" s="44"/>
      <c r="G13" s="44"/>
      <c r="H13" s="45"/>
      <c r="I13" s="44"/>
      <c r="J13" s="46"/>
    </row>
    <row r="14" spans="1:15" ht="32.25" customHeight="1" x14ac:dyDescent="0.25">
      <c r="A14" s="2"/>
      <c r="B14" s="35" t="s">
        <v>32</v>
      </c>
      <c r="C14" s="58"/>
      <c r="D14" s="52"/>
      <c r="E14" s="301"/>
      <c r="F14" s="301"/>
      <c r="G14" s="303"/>
      <c r="H14" s="303"/>
      <c r="I14" s="303" t="s">
        <v>29</v>
      </c>
      <c r="J14" s="304"/>
    </row>
    <row r="15" spans="1:15" ht="23.25" customHeight="1" x14ac:dyDescent="0.25">
      <c r="A15" s="138" t="s">
        <v>24</v>
      </c>
      <c r="B15" s="38" t="s">
        <v>24</v>
      </c>
      <c r="C15" s="59"/>
      <c r="D15" s="60"/>
      <c r="E15" s="270"/>
      <c r="F15" s="271"/>
      <c r="G15" s="270"/>
      <c r="H15" s="271"/>
      <c r="I15" s="270">
        <f>SUMIF(F54:F74,A15,I54:I74)+SUMIF(F54:F74,"PSU",I54:I74)</f>
        <v>0</v>
      </c>
      <c r="J15" s="272"/>
    </row>
    <row r="16" spans="1:15" ht="23.25" customHeight="1" x14ac:dyDescent="0.25">
      <c r="A16" s="138" t="s">
        <v>25</v>
      </c>
      <c r="B16" s="38" t="s">
        <v>25</v>
      </c>
      <c r="C16" s="59"/>
      <c r="D16" s="60"/>
      <c r="E16" s="270"/>
      <c r="F16" s="271"/>
      <c r="G16" s="270"/>
      <c r="H16" s="271"/>
      <c r="I16" s="270">
        <f>SUMIF(F54:F74,A16,I54:I74)</f>
        <v>0</v>
      </c>
      <c r="J16" s="272"/>
    </row>
    <row r="17" spans="1:10" ht="23.25" customHeight="1" x14ac:dyDescent="0.25">
      <c r="A17" s="138" t="s">
        <v>26</v>
      </c>
      <c r="B17" s="38" t="s">
        <v>26</v>
      </c>
      <c r="C17" s="59"/>
      <c r="D17" s="60"/>
      <c r="E17" s="270"/>
      <c r="F17" s="271"/>
      <c r="G17" s="270"/>
      <c r="H17" s="271"/>
      <c r="I17" s="270">
        <f>SUMIF(F54:F74,A17,I54:I74)</f>
        <v>0</v>
      </c>
      <c r="J17" s="272"/>
    </row>
    <row r="18" spans="1:10" ht="23.25" customHeight="1" x14ac:dyDescent="0.25">
      <c r="A18" s="138" t="s">
        <v>114</v>
      </c>
      <c r="B18" s="38" t="s">
        <v>27</v>
      </c>
      <c r="C18" s="59"/>
      <c r="D18" s="60"/>
      <c r="E18" s="270"/>
      <c r="F18" s="271"/>
      <c r="G18" s="270"/>
      <c r="H18" s="271"/>
      <c r="I18" s="270">
        <f>SUMIF(F54:F74,A18,I54:I74)</f>
        <v>0</v>
      </c>
      <c r="J18" s="272"/>
    </row>
    <row r="19" spans="1:10" ht="23.25" customHeight="1" x14ac:dyDescent="0.25">
      <c r="A19" s="138" t="s">
        <v>115</v>
      </c>
      <c r="B19" s="38" t="s">
        <v>28</v>
      </c>
      <c r="C19" s="59"/>
      <c r="D19" s="60"/>
      <c r="E19" s="270"/>
      <c r="F19" s="271"/>
      <c r="G19" s="270"/>
      <c r="H19" s="271"/>
      <c r="I19" s="270">
        <f>SUMIF(F54:F74,A19,I54:I74)</f>
        <v>0</v>
      </c>
      <c r="J19" s="272"/>
    </row>
    <row r="20" spans="1:10" ht="23.25" customHeight="1" x14ac:dyDescent="0.25">
      <c r="A20" s="2"/>
      <c r="B20" s="48" t="s">
        <v>29</v>
      </c>
      <c r="C20" s="61"/>
      <c r="D20" s="62"/>
      <c r="E20" s="273"/>
      <c r="F20" s="305"/>
      <c r="G20" s="273"/>
      <c r="H20" s="305"/>
      <c r="I20" s="273">
        <f>SUM(I15:J19)</f>
        <v>0</v>
      </c>
      <c r="J20" s="274"/>
    </row>
    <row r="21" spans="1:10" ht="33" customHeight="1" x14ac:dyDescent="0.25">
      <c r="A21" s="2"/>
      <c r="B21" s="42" t="s">
        <v>33</v>
      </c>
      <c r="C21" s="59"/>
      <c r="D21" s="60"/>
      <c r="E21" s="63"/>
      <c r="F21" s="39"/>
      <c r="G21" s="33"/>
      <c r="H21" s="33"/>
      <c r="I21" s="33"/>
      <c r="J21" s="40"/>
    </row>
    <row r="22" spans="1:10" ht="23.25" customHeight="1" x14ac:dyDescent="0.25">
      <c r="A22" s="2">
        <f>ZakladDPHSni*SazbaDPH1/100</f>
        <v>0</v>
      </c>
      <c r="B22" s="38" t="s">
        <v>12</v>
      </c>
      <c r="C22" s="59"/>
      <c r="D22" s="60"/>
      <c r="E22" s="64">
        <v>15</v>
      </c>
      <c r="F22" s="39" t="s">
        <v>0</v>
      </c>
      <c r="G22" s="268">
        <f>ZakladDPHSniVypocet</f>
        <v>0</v>
      </c>
      <c r="H22" s="269"/>
      <c r="I22" s="269"/>
      <c r="J22" s="40" t="str">
        <f t="shared" ref="J22:J27" si="0">Mena</f>
        <v>CZK</v>
      </c>
    </row>
    <row r="23" spans="1:10" ht="23.25" customHeight="1" x14ac:dyDescent="0.25">
      <c r="A23" s="2">
        <f>(A22-INT(A22))*100</f>
        <v>0</v>
      </c>
      <c r="B23" s="38" t="s">
        <v>13</v>
      </c>
      <c r="C23" s="59"/>
      <c r="D23" s="60"/>
      <c r="E23" s="64">
        <f>SazbaDPH1</f>
        <v>15</v>
      </c>
      <c r="F23" s="39" t="s">
        <v>0</v>
      </c>
      <c r="G23" s="266">
        <f>IF(A23&gt;50, ROUNDUP(A22, 0), ROUNDDOWN(A22, 0))</f>
        <v>0</v>
      </c>
      <c r="H23" s="267"/>
      <c r="I23" s="267"/>
      <c r="J23" s="40" t="str">
        <f t="shared" si="0"/>
        <v>CZK</v>
      </c>
    </row>
    <row r="24" spans="1:10" ht="23.25" customHeight="1" x14ac:dyDescent="0.25">
      <c r="A24" s="2">
        <f>ZakladDPHZakl*SazbaDPH2/100</f>
        <v>0</v>
      </c>
      <c r="B24" s="38" t="s">
        <v>14</v>
      </c>
      <c r="C24" s="59"/>
      <c r="D24" s="60"/>
      <c r="E24" s="64">
        <v>21</v>
      </c>
      <c r="F24" s="39" t="s">
        <v>0</v>
      </c>
      <c r="G24" s="268">
        <f>ZakladDPHZaklVypocet</f>
        <v>0</v>
      </c>
      <c r="H24" s="269"/>
      <c r="I24" s="269"/>
      <c r="J24" s="40" t="str">
        <f t="shared" si="0"/>
        <v>CZK</v>
      </c>
    </row>
    <row r="25" spans="1:10" ht="23.25" customHeight="1" x14ac:dyDescent="0.25">
      <c r="A25" s="2">
        <f>(A24-INT(A24))*100</f>
        <v>0</v>
      </c>
      <c r="B25" s="32" t="s">
        <v>15</v>
      </c>
      <c r="C25" s="65"/>
      <c r="D25" s="52"/>
      <c r="E25" s="66">
        <f>SazbaDPH2</f>
        <v>21</v>
      </c>
      <c r="F25" s="30" t="s">
        <v>0</v>
      </c>
      <c r="G25" s="295">
        <f>IF(A25&gt;50, ROUNDUP(A24, 0), ROUNDDOWN(A24, 0))</f>
        <v>0</v>
      </c>
      <c r="H25" s="296"/>
      <c r="I25" s="296"/>
      <c r="J25" s="37" t="str">
        <f t="shared" si="0"/>
        <v>CZK</v>
      </c>
    </row>
    <row r="26" spans="1:10" ht="23.25" customHeight="1" thickBot="1" x14ac:dyDescent="0.3">
      <c r="A26" s="2">
        <f>ZakladDPHSni+DPHSni+ZakladDPHZakl+DPHZakl</f>
        <v>0</v>
      </c>
      <c r="B26" s="31" t="s">
        <v>4</v>
      </c>
      <c r="C26" s="67"/>
      <c r="D26" s="68"/>
      <c r="E26" s="67"/>
      <c r="F26" s="16"/>
      <c r="G26" s="297">
        <f>CenaCelkem-(ZakladDPHSni+DPHSni+ZakladDPHZakl+DPHZakl)</f>
        <v>0</v>
      </c>
      <c r="H26" s="297"/>
      <c r="I26" s="297"/>
      <c r="J26" s="41" t="str">
        <f t="shared" si="0"/>
        <v>CZK</v>
      </c>
    </row>
    <row r="27" spans="1:10" ht="27.75" hidden="1" customHeight="1" thickBot="1" x14ac:dyDescent="0.3">
      <c r="A27" s="2"/>
      <c r="B27" s="112" t="s">
        <v>23</v>
      </c>
      <c r="C27" s="113"/>
      <c r="D27" s="113"/>
      <c r="E27" s="114"/>
      <c r="F27" s="115"/>
      <c r="G27" s="275">
        <f>ZakladDPHSniVypocet+ZakladDPHZaklVypocet</f>
        <v>0</v>
      </c>
      <c r="H27" s="276"/>
      <c r="I27" s="276"/>
      <c r="J27" s="116" t="str">
        <f t="shared" si="0"/>
        <v>CZK</v>
      </c>
    </row>
    <row r="28" spans="1:10" ht="27.75" customHeight="1" thickBot="1" x14ac:dyDescent="0.3">
      <c r="A28" s="2">
        <f>(A26-INT(A26))*100</f>
        <v>0</v>
      </c>
      <c r="B28" s="112" t="s">
        <v>35</v>
      </c>
      <c r="C28" s="117"/>
      <c r="D28" s="117"/>
      <c r="E28" s="117"/>
      <c r="F28" s="118"/>
      <c r="G28" s="275">
        <f>IF(A28&gt;50, ROUNDUP(A26, 0), ROUNDDOWN(A26, 0))</f>
        <v>0</v>
      </c>
      <c r="H28" s="275"/>
      <c r="I28" s="275"/>
      <c r="J28" s="119" t="s">
        <v>72</v>
      </c>
    </row>
    <row r="29" spans="1:10" ht="12.75" customHeight="1" x14ac:dyDescent="0.25">
      <c r="A29" s="2"/>
      <c r="B29" s="2"/>
      <c r="J29" s="9"/>
    </row>
    <row r="30" spans="1:10" ht="30" customHeight="1" x14ac:dyDescent="0.25">
      <c r="A30" s="2"/>
      <c r="B30" s="2"/>
      <c r="J30" s="9"/>
    </row>
    <row r="31" spans="1:10" ht="18.75" customHeight="1" x14ac:dyDescent="0.25">
      <c r="A31" s="2"/>
      <c r="B31" s="17"/>
      <c r="C31" s="69" t="s">
        <v>11</v>
      </c>
      <c r="D31" s="70"/>
      <c r="E31" s="70"/>
      <c r="F31" s="15" t="s">
        <v>10</v>
      </c>
      <c r="G31" s="26"/>
      <c r="H31" s="27"/>
      <c r="I31" s="26"/>
      <c r="J31" s="9"/>
    </row>
    <row r="32" spans="1:10" ht="47.25" customHeight="1" x14ac:dyDescent="0.25">
      <c r="A32" s="2"/>
      <c r="B32" s="2"/>
      <c r="J32" s="9"/>
    </row>
    <row r="33" spans="1:10" s="21" customFormat="1" ht="18.75" customHeight="1" x14ac:dyDescent="0.25">
      <c r="A33" s="20"/>
      <c r="B33" s="20"/>
      <c r="C33" s="71"/>
      <c r="D33" s="277"/>
      <c r="E33" s="278"/>
      <c r="G33" s="279"/>
      <c r="H33" s="280"/>
      <c r="I33" s="280"/>
      <c r="J33" s="25"/>
    </row>
    <row r="34" spans="1:10" ht="12.75" customHeight="1" x14ac:dyDescent="0.25">
      <c r="A34" s="2"/>
      <c r="B34" s="2"/>
      <c r="D34" s="265" t="s">
        <v>2</v>
      </c>
      <c r="E34" s="265"/>
      <c r="H34" s="10" t="s">
        <v>3</v>
      </c>
      <c r="J34" s="9"/>
    </row>
    <row r="35" spans="1:10" ht="13.5" customHeight="1" thickBot="1" x14ac:dyDescent="0.3">
      <c r="A35" s="11"/>
      <c r="B35" s="11"/>
      <c r="C35" s="72"/>
      <c r="D35" s="72"/>
      <c r="E35" s="72"/>
      <c r="F35" s="12"/>
      <c r="G35" s="12"/>
      <c r="H35" s="12"/>
      <c r="I35" s="12"/>
      <c r="J35" s="13"/>
    </row>
    <row r="36" spans="1:10" ht="27" customHeight="1" x14ac:dyDescent="0.25">
      <c r="B36" s="89" t="s">
        <v>16</v>
      </c>
      <c r="C36" s="90"/>
      <c r="D36" s="90"/>
      <c r="E36" s="90"/>
      <c r="F36" s="91"/>
      <c r="G36" s="91"/>
      <c r="H36" s="91"/>
      <c r="I36" s="91"/>
      <c r="J36" s="92"/>
    </row>
    <row r="37" spans="1:10" ht="25.5" customHeight="1" x14ac:dyDescent="0.25">
      <c r="A37" s="88" t="s">
        <v>37</v>
      </c>
      <c r="B37" s="93" t="s">
        <v>17</v>
      </c>
      <c r="C37" s="94" t="s">
        <v>5</v>
      </c>
      <c r="D37" s="94"/>
      <c r="E37" s="94"/>
      <c r="F37" s="95" t="str">
        <f>B22</f>
        <v>Základ pro sníženou DPH</v>
      </c>
      <c r="G37" s="95" t="str">
        <f>B24</f>
        <v>Základ pro základní DPH</v>
      </c>
      <c r="H37" s="96" t="s">
        <v>18</v>
      </c>
      <c r="I37" s="96" t="s">
        <v>1</v>
      </c>
      <c r="J37" s="97" t="s">
        <v>0</v>
      </c>
    </row>
    <row r="38" spans="1:10" ht="25.5" hidden="1" customHeight="1" x14ac:dyDescent="0.25">
      <c r="A38" s="88">
        <v>1</v>
      </c>
      <c r="B38" s="98" t="s">
        <v>56</v>
      </c>
      <c r="C38" s="260"/>
      <c r="D38" s="260"/>
      <c r="E38" s="260"/>
      <c r="F38" s="99">
        <f>'01 OVN Pol'!AD45+'01 SO 01 Pol'!AD269+'01 SO 02 Pol'!AD103+'01 SO 03 Pol'!AD45+'01 SO 04 Pol'!AD42+'01 SO 05 Pol'!AD11</f>
        <v>0</v>
      </c>
      <c r="G38" s="100">
        <f>'01 OVN Pol'!AE45+'01 SO 01 Pol'!AE269+'01 SO 02 Pol'!AE103+'01 SO 03 Pol'!AE45+'01 SO 04 Pol'!AE42+'01 SO 05 Pol'!AE11</f>
        <v>0</v>
      </c>
      <c r="H38" s="101">
        <f t="shared" ref="H38:H46" si="1">(F38*SazbaDPH1/100)+(G38*SazbaDPH2/100)</f>
        <v>0</v>
      </c>
      <c r="I38" s="101">
        <f t="shared" ref="I38:I46" si="2">F38+G38+H38</f>
        <v>0</v>
      </c>
      <c r="J38" s="102" t="str">
        <f t="shared" ref="J38:J46" si="3">IF(CenaCelkemVypocet=0,"",I38/CenaCelkemVypocet*100)</f>
        <v/>
      </c>
    </row>
    <row r="39" spans="1:10" ht="25.5" customHeight="1" x14ac:dyDescent="0.25">
      <c r="A39" s="88">
        <v>2</v>
      </c>
      <c r="B39" s="103"/>
      <c r="C39" s="264" t="s">
        <v>57</v>
      </c>
      <c r="D39" s="264"/>
      <c r="E39" s="264"/>
      <c r="F39" s="104"/>
      <c r="G39" s="105"/>
      <c r="H39" s="105">
        <f t="shared" si="1"/>
        <v>0</v>
      </c>
      <c r="I39" s="105">
        <f t="shared" si="2"/>
        <v>0</v>
      </c>
      <c r="J39" s="106" t="str">
        <f t="shared" si="3"/>
        <v/>
      </c>
    </row>
    <row r="40" spans="1:10" ht="25.5" customHeight="1" x14ac:dyDescent="0.25">
      <c r="A40" s="88">
        <v>2</v>
      </c>
      <c r="B40" s="103" t="s">
        <v>58</v>
      </c>
      <c r="C40" s="264" t="s">
        <v>44</v>
      </c>
      <c r="D40" s="264"/>
      <c r="E40" s="264"/>
      <c r="F40" s="104">
        <f>'01 OVN Pol'!AD45+'01 SO 01 Pol'!AD269+'01 SO 02 Pol'!AD103+'01 SO 03 Pol'!AD45+'01 SO 04 Pol'!AD42+'01 SO 05 Pol'!AD11</f>
        <v>0</v>
      </c>
      <c r="G40" s="105">
        <f>'01 OVN Pol'!AE45+'01 SO 01 Pol'!AE269+'01 SO 02 Pol'!AE103+'01 SO 03 Pol'!AE45+'01 SO 04 Pol'!AE42+'01 SO 05 Pol'!AE11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5">
      <c r="A41" s="88">
        <v>3</v>
      </c>
      <c r="B41" s="107" t="s">
        <v>59</v>
      </c>
      <c r="C41" s="260" t="s">
        <v>60</v>
      </c>
      <c r="D41" s="260"/>
      <c r="E41" s="260"/>
      <c r="F41" s="108">
        <f>'01 OVN Pol'!AD45</f>
        <v>0</v>
      </c>
      <c r="G41" s="101">
        <f>'01 OVN Pol'!AE45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5">
      <c r="A42" s="88">
        <v>3</v>
      </c>
      <c r="B42" s="107" t="s">
        <v>61</v>
      </c>
      <c r="C42" s="260" t="s">
        <v>62</v>
      </c>
      <c r="D42" s="260"/>
      <c r="E42" s="260"/>
      <c r="F42" s="108">
        <f>'01 SO 01 Pol'!AD269</f>
        <v>0</v>
      </c>
      <c r="G42" s="101">
        <f>'01 SO 01 Pol'!AE269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5">
      <c r="A43" s="88">
        <v>3</v>
      </c>
      <c r="B43" s="107" t="s">
        <v>63</v>
      </c>
      <c r="C43" s="260" t="s">
        <v>64</v>
      </c>
      <c r="D43" s="260"/>
      <c r="E43" s="260"/>
      <c r="F43" s="108">
        <f>'01 SO 02 Pol'!AD103</f>
        <v>0</v>
      </c>
      <c r="G43" s="101">
        <f>'01 SO 02 Pol'!AE103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5">
      <c r="A44" s="88">
        <v>3</v>
      </c>
      <c r="B44" s="107" t="s">
        <v>65</v>
      </c>
      <c r="C44" s="260" t="s">
        <v>66</v>
      </c>
      <c r="D44" s="260"/>
      <c r="E44" s="260"/>
      <c r="F44" s="108">
        <f>'01 SO 03 Pol'!AD45</f>
        <v>0</v>
      </c>
      <c r="G44" s="101">
        <f>'01 SO 03 Pol'!AE45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5">
      <c r="A45" s="88">
        <v>3</v>
      </c>
      <c r="B45" s="107" t="s">
        <v>67</v>
      </c>
      <c r="C45" s="260" t="s">
        <v>68</v>
      </c>
      <c r="D45" s="260"/>
      <c r="E45" s="260"/>
      <c r="F45" s="108">
        <f>'01 SO 04 Pol'!AD42</f>
        <v>0</v>
      </c>
      <c r="G45" s="101">
        <f>'01 SO 04 Pol'!AE42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5">
      <c r="A46" s="88">
        <v>3</v>
      </c>
      <c r="B46" s="107" t="s">
        <v>69</v>
      </c>
      <c r="C46" s="260" t="s">
        <v>70</v>
      </c>
      <c r="D46" s="260"/>
      <c r="E46" s="260"/>
      <c r="F46" s="108">
        <f>'01 SO 05 Pol'!AD11</f>
        <v>0</v>
      </c>
      <c r="G46" s="101">
        <f>'01 SO 05 Pol'!AE11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5">
      <c r="A47" s="88"/>
      <c r="B47" s="261" t="s">
        <v>71</v>
      </c>
      <c r="C47" s="262"/>
      <c r="D47" s="262"/>
      <c r="E47" s="263"/>
      <c r="F47" s="109">
        <f>SUMIF(A38:A46,"=1",F38:F46)</f>
        <v>0</v>
      </c>
      <c r="G47" s="110">
        <f>SUMIF(A38:A46,"=1",G38:G46)</f>
        <v>0</v>
      </c>
      <c r="H47" s="110">
        <f>SUMIF(A38:A46,"=1",H38:H46)</f>
        <v>0</v>
      </c>
      <c r="I47" s="110">
        <f>SUMIF(A38:A46,"=1",I38:I46)</f>
        <v>0</v>
      </c>
      <c r="J47" s="111">
        <f>SUMIF(A38:A46,"=1",J38:J46)</f>
        <v>0</v>
      </c>
    </row>
    <row r="51" spans="1:10" ht="15.6" x14ac:dyDescent="0.3">
      <c r="B51" s="120" t="s">
        <v>73</v>
      </c>
    </row>
    <row r="53" spans="1:10" ht="25.5" customHeight="1" x14ac:dyDescent="0.25">
      <c r="A53" s="122"/>
      <c r="B53" s="125" t="s">
        <v>17</v>
      </c>
      <c r="C53" s="125" t="s">
        <v>5</v>
      </c>
      <c r="D53" s="126"/>
      <c r="E53" s="126"/>
      <c r="F53" s="127" t="s">
        <v>74</v>
      </c>
      <c r="G53" s="127"/>
      <c r="H53" s="127"/>
      <c r="I53" s="127" t="s">
        <v>29</v>
      </c>
      <c r="J53" s="127" t="s">
        <v>0</v>
      </c>
    </row>
    <row r="54" spans="1:10" ht="36.75" customHeight="1" x14ac:dyDescent="0.25">
      <c r="A54" s="123"/>
      <c r="B54" s="128" t="s">
        <v>75</v>
      </c>
      <c r="C54" s="258" t="s">
        <v>76</v>
      </c>
      <c r="D54" s="259"/>
      <c r="E54" s="259"/>
      <c r="F54" s="136" t="s">
        <v>24</v>
      </c>
      <c r="G54" s="129"/>
      <c r="H54" s="129"/>
      <c r="I54" s="129">
        <f>'01 OVN Pol'!G8+'01 SO 01 Pol'!G8+'01 SO 02 Pol'!G8+'01 SO 03 Pol'!G8</f>
        <v>0</v>
      </c>
      <c r="J54" s="134" t="str">
        <f>IF(I75=0,"",I54/I75*100)</f>
        <v/>
      </c>
    </row>
    <row r="55" spans="1:10" ht="36.75" customHeight="1" x14ac:dyDescent="0.25">
      <c r="A55" s="123"/>
      <c r="B55" s="128" t="s">
        <v>77</v>
      </c>
      <c r="C55" s="258" t="s">
        <v>78</v>
      </c>
      <c r="D55" s="259"/>
      <c r="E55" s="259"/>
      <c r="F55" s="136" t="s">
        <v>24</v>
      </c>
      <c r="G55" s="129"/>
      <c r="H55" s="129"/>
      <c r="I55" s="129">
        <f>'01 SO 01 Pol'!G65+'01 SO 02 Pol'!G26</f>
        <v>0</v>
      </c>
      <c r="J55" s="134" t="str">
        <f>IF(I75=0,"",I55/I75*100)</f>
        <v/>
      </c>
    </row>
    <row r="56" spans="1:10" ht="36.75" customHeight="1" x14ac:dyDescent="0.25">
      <c r="A56" s="123"/>
      <c r="B56" s="128" t="s">
        <v>79</v>
      </c>
      <c r="C56" s="258" t="s">
        <v>80</v>
      </c>
      <c r="D56" s="259"/>
      <c r="E56" s="259"/>
      <c r="F56" s="136" t="s">
        <v>24</v>
      </c>
      <c r="G56" s="129"/>
      <c r="H56" s="129"/>
      <c r="I56" s="129">
        <f>'01 SO 01 Pol'!G88+'01 SO 02 Pol'!G30</f>
        <v>0</v>
      </c>
      <c r="J56" s="134" t="str">
        <f>IF(I75=0,"",I56/I75*100)</f>
        <v/>
      </c>
    </row>
    <row r="57" spans="1:10" ht="36.75" customHeight="1" x14ac:dyDescent="0.25">
      <c r="A57" s="123"/>
      <c r="B57" s="128" t="s">
        <v>81</v>
      </c>
      <c r="C57" s="258" t="s">
        <v>82</v>
      </c>
      <c r="D57" s="259"/>
      <c r="E57" s="259"/>
      <c r="F57" s="136" t="s">
        <v>24</v>
      </c>
      <c r="G57" s="129"/>
      <c r="H57" s="129"/>
      <c r="I57" s="129">
        <f>'01 SO 01 Pol'!G106</f>
        <v>0</v>
      </c>
      <c r="J57" s="134" t="str">
        <f>IF(I75=0,"",I57/I75*100)</f>
        <v/>
      </c>
    </row>
    <row r="58" spans="1:10" ht="36.75" customHeight="1" x14ac:dyDescent="0.25">
      <c r="A58" s="123"/>
      <c r="B58" s="128" t="s">
        <v>83</v>
      </c>
      <c r="C58" s="258" t="s">
        <v>84</v>
      </c>
      <c r="D58" s="259"/>
      <c r="E58" s="259"/>
      <c r="F58" s="136" t="s">
        <v>24</v>
      </c>
      <c r="G58" s="129"/>
      <c r="H58" s="129"/>
      <c r="I58" s="129">
        <f>'01 SO 01 Pol'!G153+'01 SO 02 Pol'!G44</f>
        <v>0</v>
      </c>
      <c r="J58" s="134" t="str">
        <f>IF(I75=0,"",I58/I75*100)</f>
        <v/>
      </c>
    </row>
    <row r="59" spans="1:10" ht="36.75" customHeight="1" x14ac:dyDescent="0.25">
      <c r="A59" s="123"/>
      <c r="B59" s="128" t="s">
        <v>85</v>
      </c>
      <c r="C59" s="258" t="s">
        <v>86</v>
      </c>
      <c r="D59" s="259"/>
      <c r="E59" s="259"/>
      <c r="F59" s="136" t="s">
        <v>24</v>
      </c>
      <c r="G59" s="129"/>
      <c r="H59" s="129"/>
      <c r="I59" s="129">
        <f>'01 SO 01 Pol'!G162+'01 SO 04 Pol'!G8</f>
        <v>0</v>
      </c>
      <c r="J59" s="134" t="str">
        <f>IF(I75=0,"",I59/I75*100)</f>
        <v/>
      </c>
    </row>
    <row r="60" spans="1:10" ht="36.75" customHeight="1" x14ac:dyDescent="0.25">
      <c r="A60" s="123"/>
      <c r="B60" s="128" t="s">
        <v>87</v>
      </c>
      <c r="C60" s="258" t="s">
        <v>88</v>
      </c>
      <c r="D60" s="259"/>
      <c r="E60" s="259"/>
      <c r="F60" s="136" t="s">
        <v>24</v>
      </c>
      <c r="G60" s="129"/>
      <c r="H60" s="129"/>
      <c r="I60" s="129">
        <f>'01 SO 01 Pol'!G178</f>
        <v>0</v>
      </c>
      <c r="J60" s="134" t="str">
        <f>IF(I75=0,"",I60/I75*100)</f>
        <v/>
      </c>
    </row>
    <row r="61" spans="1:10" ht="36.75" customHeight="1" x14ac:dyDescent="0.25">
      <c r="A61" s="123"/>
      <c r="B61" s="128" t="s">
        <v>89</v>
      </c>
      <c r="C61" s="258" t="s">
        <v>90</v>
      </c>
      <c r="D61" s="259"/>
      <c r="E61" s="259"/>
      <c r="F61" s="136" t="s">
        <v>24</v>
      </c>
      <c r="G61" s="129"/>
      <c r="H61" s="129"/>
      <c r="I61" s="129">
        <f>'01 SO 01 Pol'!G188+'01 SO 02 Pol'!G48+'01 SO 03 Pol'!G42</f>
        <v>0</v>
      </c>
      <c r="J61" s="134" t="str">
        <f>IF(I75=0,"",I61/I75*100)</f>
        <v/>
      </c>
    </row>
    <row r="62" spans="1:10" ht="36.75" customHeight="1" x14ac:dyDescent="0.25">
      <c r="A62" s="123"/>
      <c r="B62" s="128" t="s">
        <v>91</v>
      </c>
      <c r="C62" s="258" t="s">
        <v>92</v>
      </c>
      <c r="D62" s="259"/>
      <c r="E62" s="259"/>
      <c r="F62" s="136" t="s">
        <v>25</v>
      </c>
      <c r="G62" s="129"/>
      <c r="H62" s="129"/>
      <c r="I62" s="129">
        <f>'01 SO 01 Pol'!G191+'01 SO 02 Pol'!G51</f>
        <v>0</v>
      </c>
      <c r="J62" s="134" t="str">
        <f>IF(I75=0,"",I62/I75*100)</f>
        <v/>
      </c>
    </row>
    <row r="63" spans="1:10" ht="36.75" customHeight="1" x14ac:dyDescent="0.25">
      <c r="A63" s="123"/>
      <c r="B63" s="128" t="s">
        <v>93</v>
      </c>
      <c r="C63" s="258" t="s">
        <v>94</v>
      </c>
      <c r="D63" s="259"/>
      <c r="E63" s="259"/>
      <c r="F63" s="136" t="s">
        <v>25</v>
      </c>
      <c r="G63" s="129"/>
      <c r="H63" s="129"/>
      <c r="I63" s="129">
        <f>'01 SO 04 Pol'!G35</f>
        <v>0</v>
      </c>
      <c r="J63" s="134" t="str">
        <f>IF(I75=0,"",I63/I75*100)</f>
        <v/>
      </c>
    </row>
    <row r="64" spans="1:10" ht="36.75" customHeight="1" x14ac:dyDescent="0.25">
      <c r="A64" s="123"/>
      <c r="B64" s="128" t="s">
        <v>95</v>
      </c>
      <c r="C64" s="258" t="s">
        <v>96</v>
      </c>
      <c r="D64" s="259"/>
      <c r="E64" s="259"/>
      <c r="F64" s="136" t="s">
        <v>25</v>
      </c>
      <c r="G64" s="129"/>
      <c r="H64" s="129"/>
      <c r="I64" s="129">
        <f>'01 SO 01 Pol'!G198+'01 SO 02 Pol'!G58</f>
        <v>0</v>
      </c>
      <c r="J64" s="134" t="str">
        <f>IF(I75=0,"",I64/I75*100)</f>
        <v/>
      </c>
    </row>
    <row r="65" spans="1:10" ht="36.75" customHeight="1" x14ac:dyDescent="0.25">
      <c r="A65" s="123"/>
      <c r="B65" s="128" t="s">
        <v>97</v>
      </c>
      <c r="C65" s="258" t="s">
        <v>98</v>
      </c>
      <c r="D65" s="259"/>
      <c r="E65" s="259"/>
      <c r="F65" s="136" t="s">
        <v>25</v>
      </c>
      <c r="G65" s="129"/>
      <c r="H65" s="129"/>
      <c r="I65" s="129">
        <f>'01 SO 01 Pol'!G219</f>
        <v>0</v>
      </c>
      <c r="J65" s="134" t="str">
        <f>IF(I75=0,"",I65/I75*100)</f>
        <v/>
      </c>
    </row>
    <row r="66" spans="1:10" ht="36.75" customHeight="1" x14ac:dyDescent="0.25">
      <c r="A66" s="123"/>
      <c r="B66" s="128" t="s">
        <v>99</v>
      </c>
      <c r="C66" s="258" t="s">
        <v>100</v>
      </c>
      <c r="D66" s="259"/>
      <c r="E66" s="259"/>
      <c r="F66" s="136" t="s">
        <v>25</v>
      </c>
      <c r="G66" s="129"/>
      <c r="H66" s="129"/>
      <c r="I66" s="129">
        <f>'01 SO 01 Pol'!G225</f>
        <v>0</v>
      </c>
      <c r="J66" s="134" t="str">
        <f>IF(I75=0,"",I66/I75*100)</f>
        <v/>
      </c>
    </row>
    <row r="67" spans="1:10" ht="36.75" customHeight="1" x14ac:dyDescent="0.25">
      <c r="A67" s="123"/>
      <c r="B67" s="128" t="s">
        <v>101</v>
      </c>
      <c r="C67" s="258" t="s">
        <v>102</v>
      </c>
      <c r="D67" s="259"/>
      <c r="E67" s="259"/>
      <c r="F67" s="136" t="s">
        <v>25</v>
      </c>
      <c r="G67" s="129"/>
      <c r="H67" s="129"/>
      <c r="I67" s="129">
        <f>'01 SO 01 Pol'!G241</f>
        <v>0</v>
      </c>
      <c r="J67" s="134" t="str">
        <f>IF(I75=0,"",I67/I75*100)</f>
        <v/>
      </c>
    </row>
    <row r="68" spans="1:10" ht="36.75" customHeight="1" x14ac:dyDescent="0.25">
      <c r="A68" s="123"/>
      <c r="B68" s="128" t="s">
        <v>103</v>
      </c>
      <c r="C68" s="258" t="s">
        <v>104</v>
      </c>
      <c r="D68" s="259"/>
      <c r="E68" s="259"/>
      <c r="F68" s="136" t="s">
        <v>25</v>
      </c>
      <c r="G68" s="129"/>
      <c r="H68" s="129"/>
      <c r="I68" s="129">
        <f>'01 SO 01 Pol'!G248+'01 SO 02 Pol'!G73</f>
        <v>0</v>
      </c>
      <c r="J68" s="134" t="str">
        <f>IF(I75=0,"",I68/I75*100)</f>
        <v/>
      </c>
    </row>
    <row r="69" spans="1:10" ht="36.75" customHeight="1" x14ac:dyDescent="0.25">
      <c r="A69" s="123"/>
      <c r="B69" s="128" t="s">
        <v>105</v>
      </c>
      <c r="C69" s="258" t="s">
        <v>106</v>
      </c>
      <c r="D69" s="259"/>
      <c r="E69" s="259"/>
      <c r="F69" s="136" t="s">
        <v>26</v>
      </c>
      <c r="G69" s="129"/>
      <c r="H69" s="129"/>
      <c r="I69" s="129">
        <f>'01 SO 05 Pol'!G8</f>
        <v>0</v>
      </c>
      <c r="J69" s="134" t="str">
        <f>IF(I75=0,"",I69/I75*100)</f>
        <v/>
      </c>
    </row>
    <row r="70" spans="1:10" ht="36.75" customHeight="1" x14ac:dyDescent="0.25">
      <c r="A70" s="123"/>
      <c r="B70" s="128" t="s">
        <v>107</v>
      </c>
      <c r="C70" s="258" t="s">
        <v>108</v>
      </c>
      <c r="D70" s="259"/>
      <c r="E70" s="259"/>
      <c r="F70" s="136" t="s">
        <v>26</v>
      </c>
      <c r="G70" s="129"/>
      <c r="H70" s="129"/>
      <c r="I70" s="129">
        <f>'01 SO 04 Pol'!G38</f>
        <v>0</v>
      </c>
      <c r="J70" s="134" t="str">
        <f>IF(I75=0,"",I70/I75*100)</f>
        <v/>
      </c>
    </row>
    <row r="71" spans="1:10" ht="36.75" customHeight="1" x14ac:dyDescent="0.25">
      <c r="A71" s="123"/>
      <c r="B71" s="128" t="s">
        <v>109</v>
      </c>
      <c r="C71" s="258" t="s">
        <v>110</v>
      </c>
      <c r="D71" s="259"/>
      <c r="E71" s="259"/>
      <c r="F71" s="136" t="s">
        <v>26</v>
      </c>
      <c r="G71" s="129"/>
      <c r="H71" s="129"/>
      <c r="I71" s="129">
        <f>'01 SO 01 Pol'!G257+'01 SO 02 Pol'!G77</f>
        <v>0</v>
      </c>
      <c r="J71" s="134" t="str">
        <f>IF(I75=0,"",I71/I75*100)</f>
        <v/>
      </c>
    </row>
    <row r="72" spans="1:10" ht="36.75" customHeight="1" x14ac:dyDescent="0.25">
      <c r="A72" s="123"/>
      <c r="B72" s="128" t="s">
        <v>111</v>
      </c>
      <c r="C72" s="258" t="s">
        <v>112</v>
      </c>
      <c r="D72" s="259"/>
      <c r="E72" s="259"/>
      <c r="F72" s="136" t="s">
        <v>113</v>
      </c>
      <c r="G72" s="129"/>
      <c r="H72" s="129"/>
      <c r="I72" s="129">
        <f>'01 SO 01 Pol'!G261</f>
        <v>0</v>
      </c>
      <c r="J72" s="134" t="str">
        <f>IF(I75=0,"",I72/I75*100)</f>
        <v/>
      </c>
    </row>
    <row r="73" spans="1:10" ht="36.75" customHeight="1" x14ac:dyDescent="0.25">
      <c r="A73" s="123"/>
      <c r="B73" s="128" t="s">
        <v>114</v>
      </c>
      <c r="C73" s="258" t="s">
        <v>27</v>
      </c>
      <c r="D73" s="259"/>
      <c r="E73" s="259"/>
      <c r="F73" s="136" t="s">
        <v>114</v>
      </c>
      <c r="G73" s="129"/>
      <c r="H73" s="129"/>
      <c r="I73" s="129">
        <f>'01 OVN Pol'!G22</f>
        <v>0</v>
      </c>
      <c r="J73" s="134" t="str">
        <f>IF(I75=0,"",I73/I75*100)</f>
        <v/>
      </c>
    </row>
    <row r="74" spans="1:10" ht="36.75" customHeight="1" x14ac:dyDescent="0.25">
      <c r="A74" s="123"/>
      <c r="B74" s="128" t="s">
        <v>115</v>
      </c>
      <c r="C74" s="258" t="s">
        <v>28</v>
      </c>
      <c r="D74" s="259"/>
      <c r="E74" s="259"/>
      <c r="F74" s="136" t="s">
        <v>115</v>
      </c>
      <c r="G74" s="129"/>
      <c r="H74" s="129"/>
      <c r="I74" s="129">
        <f>'01 OVN Pol'!G36</f>
        <v>0</v>
      </c>
      <c r="J74" s="134" t="str">
        <f>IF(I75=0,"",I74/I75*100)</f>
        <v/>
      </c>
    </row>
    <row r="75" spans="1:10" ht="25.5" customHeight="1" x14ac:dyDescent="0.25">
      <c r="A75" s="124"/>
      <c r="B75" s="130" t="s">
        <v>1</v>
      </c>
      <c r="C75" s="131"/>
      <c r="D75" s="132"/>
      <c r="E75" s="132"/>
      <c r="F75" s="137"/>
      <c r="G75" s="133"/>
      <c r="H75" s="133"/>
      <c r="I75" s="133">
        <f>SUM(I54:I74)</f>
        <v>0</v>
      </c>
      <c r="J75" s="135">
        <f>SUM(J54:J74)</f>
        <v>0</v>
      </c>
    </row>
    <row r="76" spans="1:10" x14ac:dyDescent="0.25">
      <c r="F76" s="86"/>
      <c r="G76" s="86"/>
      <c r="H76" s="86"/>
      <c r="I76" s="86"/>
      <c r="J76" s="87"/>
    </row>
    <row r="77" spans="1:10" x14ac:dyDescent="0.25">
      <c r="F77" s="86"/>
      <c r="G77" s="86"/>
      <c r="H77" s="86"/>
      <c r="I77" s="86"/>
      <c r="J77" s="87"/>
    </row>
    <row r="78" spans="1:10" x14ac:dyDescent="0.25">
      <c r="B78" t="s">
        <v>842</v>
      </c>
      <c r="F78" s="86"/>
      <c r="G78" s="86"/>
      <c r="H78" s="86"/>
      <c r="I78" s="86"/>
      <c r="J78" s="87"/>
    </row>
    <row r="79" spans="1:10" x14ac:dyDescent="0.25">
      <c r="B79" t="s">
        <v>843</v>
      </c>
    </row>
    <row r="80" spans="1:10" x14ac:dyDescent="0.25">
      <c r="B80" t="s">
        <v>844</v>
      </c>
    </row>
    <row r="81" spans="2:2" x14ac:dyDescent="0.25">
      <c r="B81" t="s">
        <v>845</v>
      </c>
    </row>
    <row r="82" spans="2:2" x14ac:dyDescent="0.25">
      <c r="B82" t="s">
        <v>846</v>
      </c>
    </row>
    <row r="83" spans="2:2" x14ac:dyDescent="0.25">
      <c r="B83" t="s">
        <v>847</v>
      </c>
    </row>
    <row r="84" spans="2:2" x14ac:dyDescent="0.25">
      <c r="B84" t="s">
        <v>848</v>
      </c>
    </row>
  </sheetData>
  <sheetProtection algorithmName="SHA-512" hashValue="jG996XCXgv3SaBTUSH38hEEkrq4Mk3azaEF3e0Cpk8CqVfc5oFnSdMiRXHDsUyoYgENqi7FrexQv6qfHgceH2g==" saltValue="fE4W0cyV0hAlq01sTbV9Jg==" spinCount="100000" sheet="1" objects="1" scenarios="1" selectLockedCells="1" selectUn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5:I25"/>
    <mergeCell ref="G26:I26"/>
    <mergeCell ref="G17:H17"/>
    <mergeCell ref="I16:J16"/>
    <mergeCell ref="I17:J17"/>
    <mergeCell ref="E17:F17"/>
    <mergeCell ref="E2:J2"/>
    <mergeCell ref="E14:F14"/>
    <mergeCell ref="D10:G10"/>
    <mergeCell ref="G14:H14"/>
    <mergeCell ref="I14:J14"/>
    <mergeCell ref="I15:J15"/>
    <mergeCell ref="E20:F20"/>
    <mergeCell ref="G20:H20"/>
    <mergeCell ref="E16:F16"/>
    <mergeCell ref="D11:G11"/>
    <mergeCell ref="E3:J3"/>
    <mergeCell ref="G15:H15"/>
    <mergeCell ref="G16:H16"/>
    <mergeCell ref="E15:F15"/>
    <mergeCell ref="E12:G12"/>
    <mergeCell ref="D4:G4"/>
    <mergeCell ref="D5:G5"/>
    <mergeCell ref="E6:G6"/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G28:I28"/>
    <mergeCell ref="G24:I24"/>
    <mergeCell ref="I18:J18"/>
    <mergeCell ref="G27:I27"/>
    <mergeCell ref="D33:E33"/>
    <mergeCell ref="G33:I33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4:E74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44140625" style="3" customWidth="1"/>
    <col min="5" max="5" width="10.44140625" style="3" customWidth="1"/>
    <col min="6" max="6" width="9.77734375" style="3" customWidth="1"/>
    <col min="7" max="7" width="12.6640625" style="3" customWidth="1"/>
    <col min="8" max="16384" width="9.109375" style="3"/>
  </cols>
  <sheetData>
    <row r="1" spans="1:7" ht="15.6" x14ac:dyDescent="0.25">
      <c r="A1" s="306" t="s">
        <v>6</v>
      </c>
      <c r="B1" s="306"/>
      <c r="C1" s="307"/>
      <c r="D1" s="306"/>
      <c r="E1" s="306"/>
      <c r="F1" s="306"/>
      <c r="G1" s="306"/>
    </row>
    <row r="2" spans="1:7" ht="25.05" customHeight="1" x14ac:dyDescent="0.25">
      <c r="A2" s="50" t="s">
        <v>7</v>
      </c>
      <c r="B2" s="49"/>
      <c r="C2" s="308"/>
      <c r="D2" s="308"/>
      <c r="E2" s="308"/>
      <c r="F2" s="308"/>
      <c r="G2" s="309"/>
    </row>
    <row r="3" spans="1:7" ht="25.05" customHeight="1" x14ac:dyDescent="0.25">
      <c r="A3" s="50" t="s">
        <v>8</v>
      </c>
      <c r="B3" s="49"/>
      <c r="C3" s="308"/>
      <c r="D3" s="308"/>
      <c r="E3" s="308"/>
      <c r="F3" s="308"/>
      <c r="G3" s="309"/>
    </row>
    <row r="4" spans="1:7" ht="25.05" customHeight="1" x14ac:dyDescent="0.25">
      <c r="A4" s="50" t="s">
        <v>9</v>
      </c>
      <c r="B4" s="49"/>
      <c r="C4" s="308"/>
      <c r="D4" s="308"/>
      <c r="E4" s="308"/>
      <c r="F4" s="308"/>
      <c r="G4" s="309"/>
    </row>
    <row r="5" spans="1:7" x14ac:dyDescent="0.25">
      <c r="B5" s="4"/>
      <c r="C5" s="5"/>
      <c r="D5" s="6"/>
    </row>
  </sheetData>
  <sheetProtection password="E4DE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5000"/>
  <sheetViews>
    <sheetView zoomScale="80" zoomScaleNormal="80" workbookViewId="0">
      <pane ySplit="7" topLeftCell="A8" activePane="bottomLeft" state="frozen"/>
      <selection pane="bottomLeft" activeCell="F10" sqref="F10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59</v>
      </c>
      <c r="C4" s="314" t="s">
        <v>60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75</v>
      </c>
      <c r="C8" s="182" t="s">
        <v>76</v>
      </c>
      <c r="D8" s="162"/>
      <c r="E8" s="163"/>
      <c r="F8" s="164"/>
      <c r="G8" s="164">
        <f>SUMIF(AF9:AF21,"&lt;&gt;NOR",G9:G21)</f>
        <v>0</v>
      </c>
      <c r="H8" s="164"/>
      <c r="I8" s="164">
        <f>SUM(I9:I21)</f>
        <v>7931</v>
      </c>
      <c r="J8" s="164"/>
      <c r="K8" s="164">
        <f>SUM(K9:K21)</f>
        <v>29118.38</v>
      </c>
      <c r="L8" s="164"/>
      <c r="M8" s="164">
        <f>SUM(M9:M21)</f>
        <v>0</v>
      </c>
      <c r="N8" s="164"/>
      <c r="O8" s="164">
        <f>SUM(O9:O21)</f>
        <v>23</v>
      </c>
      <c r="P8" s="164"/>
      <c r="Q8" s="164">
        <f>SUM(Q9:Q21)</f>
        <v>0</v>
      </c>
      <c r="R8" s="164"/>
      <c r="S8" s="165"/>
      <c r="T8" s="159"/>
      <c r="U8" s="159">
        <f>SUM(U9:U21)</f>
        <v>44.870000000000005</v>
      </c>
      <c r="V8" s="159"/>
      <c r="W8" s="159"/>
      <c r="AF8" t="s">
        <v>142</v>
      </c>
    </row>
    <row r="9" spans="1:59" outlineLevel="1" x14ac:dyDescent="0.25">
      <c r="A9" s="166">
        <v>1</v>
      </c>
      <c r="B9" s="167" t="s">
        <v>143</v>
      </c>
      <c r="C9" s="183" t="s">
        <v>144</v>
      </c>
      <c r="D9" s="168" t="s">
        <v>145</v>
      </c>
      <c r="E9" s="169">
        <v>13.75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264.5</v>
      </c>
      <c r="K9" s="171">
        <f>ROUND(E9*J9,2)</f>
        <v>3636.88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146</v>
      </c>
      <c r="S9" s="172" t="s">
        <v>147</v>
      </c>
      <c r="T9" s="156">
        <v>1.0999999999999999E-2</v>
      </c>
      <c r="U9" s="156">
        <f>ROUND(E9*T9,2)</f>
        <v>0.15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51" t="s">
        <v>150</v>
      </c>
      <c r="D10" s="251"/>
      <c r="E10" s="251"/>
      <c r="F10" s="251"/>
      <c r="G10" s="251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151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4" t="s">
        <v>152</v>
      </c>
      <c r="D11" s="157"/>
      <c r="E11" s="158">
        <v>13.75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 t="s">
        <v>153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20.399999999999999" outlineLevel="1" x14ac:dyDescent="0.25">
      <c r="A12" s="166">
        <v>2</v>
      </c>
      <c r="B12" s="167" t="s">
        <v>154</v>
      </c>
      <c r="C12" s="183" t="s">
        <v>155</v>
      </c>
      <c r="D12" s="168" t="s">
        <v>145</v>
      </c>
      <c r="E12" s="169">
        <v>13.75</v>
      </c>
      <c r="F12" s="170">
        <v>0</v>
      </c>
      <c r="G12" s="171">
        <f>ROUND(E12*F12,2)</f>
        <v>0</v>
      </c>
      <c r="H12" s="170">
        <v>0</v>
      </c>
      <c r="I12" s="171">
        <f>ROUND(E12*H12,2)</f>
        <v>0</v>
      </c>
      <c r="J12" s="170">
        <v>256</v>
      </c>
      <c r="K12" s="171">
        <f>ROUND(E12*J12,2)</f>
        <v>3520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 t="s">
        <v>146</v>
      </c>
      <c r="S12" s="172" t="s">
        <v>147</v>
      </c>
      <c r="T12" s="156">
        <v>0.65200000000000002</v>
      </c>
      <c r="U12" s="156">
        <f>ROUND(E12*T12,2)</f>
        <v>8.9700000000000006</v>
      </c>
      <c r="V12" s="156"/>
      <c r="W12" s="156" t="s">
        <v>148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149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184" t="s">
        <v>152</v>
      </c>
      <c r="D13" s="157"/>
      <c r="E13" s="158">
        <v>13.75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153</v>
      </c>
      <c r="AG13" s="147">
        <v>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66">
        <v>3</v>
      </c>
      <c r="B14" s="167" t="s">
        <v>156</v>
      </c>
      <c r="C14" s="183" t="s">
        <v>157</v>
      </c>
      <c r="D14" s="168" t="s">
        <v>158</v>
      </c>
      <c r="E14" s="169">
        <v>275</v>
      </c>
      <c r="F14" s="170">
        <v>0</v>
      </c>
      <c r="G14" s="171">
        <f>ROUND(E14*F14,2)</f>
        <v>0</v>
      </c>
      <c r="H14" s="170">
        <v>0</v>
      </c>
      <c r="I14" s="171">
        <f>ROUND(E14*H14,2)</f>
        <v>0</v>
      </c>
      <c r="J14" s="170">
        <v>46.5</v>
      </c>
      <c r="K14" s="171">
        <f>ROUND(E14*J14,2)</f>
        <v>12787.5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 t="s">
        <v>146</v>
      </c>
      <c r="S14" s="172" t="s">
        <v>147</v>
      </c>
      <c r="T14" s="156">
        <v>0.13</v>
      </c>
      <c r="U14" s="156">
        <f>ROUND(E14*T14,2)</f>
        <v>35.75</v>
      </c>
      <c r="V14" s="156"/>
      <c r="W14" s="156" t="s">
        <v>148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149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20.399999999999999" outlineLevel="1" x14ac:dyDescent="0.25">
      <c r="A15" s="154"/>
      <c r="B15" s="155"/>
      <c r="C15" s="251" t="s">
        <v>159</v>
      </c>
      <c r="D15" s="251"/>
      <c r="E15" s="251"/>
      <c r="F15" s="251"/>
      <c r="G15" s="251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151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73" t="str">
        <f>C15</f>
        <v>s případným nutným přemístěním hromad nebo dočasných skládek na místo potřeby ze vzdálenosti do 30 m, v rovině nebo ve svahu do 1 : 5,</v>
      </c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54"/>
      <c r="B16" s="155"/>
      <c r="C16" s="184" t="s">
        <v>160</v>
      </c>
      <c r="D16" s="157"/>
      <c r="E16" s="158">
        <v>275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153</v>
      </c>
      <c r="AG16" s="147">
        <v>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66">
        <v>4</v>
      </c>
      <c r="B17" s="167" t="s">
        <v>161</v>
      </c>
      <c r="C17" s="183" t="s">
        <v>162</v>
      </c>
      <c r="D17" s="168" t="s">
        <v>158</v>
      </c>
      <c r="E17" s="169">
        <v>275</v>
      </c>
      <c r="F17" s="170">
        <v>0</v>
      </c>
      <c r="G17" s="171">
        <f>ROUND(E17*F17,2)</f>
        <v>0</v>
      </c>
      <c r="H17" s="170">
        <v>7.94</v>
      </c>
      <c r="I17" s="171">
        <f>ROUND(E17*H17,2)</f>
        <v>2183.5</v>
      </c>
      <c r="J17" s="170">
        <v>33.36</v>
      </c>
      <c r="K17" s="171">
        <f>ROUND(E17*J17,2)</f>
        <v>9174</v>
      </c>
      <c r="L17" s="171">
        <v>21</v>
      </c>
      <c r="M17" s="171">
        <f>G17*(1+L17/100)</f>
        <v>0</v>
      </c>
      <c r="N17" s="171">
        <v>1.2999999999999999E-4</v>
      </c>
      <c r="O17" s="171">
        <f>ROUND(E17*N17,2)</f>
        <v>0.04</v>
      </c>
      <c r="P17" s="171">
        <v>0</v>
      </c>
      <c r="Q17" s="171">
        <f>ROUND(E17*P17,2)</f>
        <v>0</v>
      </c>
      <c r="R17" s="171"/>
      <c r="S17" s="172" t="s">
        <v>147</v>
      </c>
      <c r="T17" s="156">
        <v>0</v>
      </c>
      <c r="U17" s="156">
        <f>ROUND(E17*T17,2)</f>
        <v>0</v>
      </c>
      <c r="V17" s="156"/>
      <c r="W17" s="156" t="s">
        <v>163</v>
      </c>
      <c r="X17" s="147"/>
      <c r="Y17" s="147"/>
      <c r="Z17" s="147"/>
      <c r="AA17" s="147"/>
      <c r="AB17" s="147"/>
      <c r="AC17" s="147"/>
      <c r="AD17" s="147"/>
      <c r="AE17" s="147"/>
      <c r="AF17" s="147" t="s">
        <v>164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250" t="s">
        <v>165</v>
      </c>
      <c r="D18" s="250"/>
      <c r="E18" s="250"/>
      <c r="F18" s="250"/>
      <c r="G18" s="25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166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54"/>
      <c r="B19" s="155"/>
      <c r="C19" s="184" t="s">
        <v>160</v>
      </c>
      <c r="D19" s="157"/>
      <c r="E19" s="158">
        <v>275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 t="s">
        <v>153</v>
      </c>
      <c r="AG19" s="147">
        <v>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66">
        <v>5</v>
      </c>
      <c r="B20" s="167" t="s">
        <v>167</v>
      </c>
      <c r="C20" s="183" t="s">
        <v>168</v>
      </c>
      <c r="D20" s="168" t="s">
        <v>145</v>
      </c>
      <c r="E20" s="169">
        <v>13.75</v>
      </c>
      <c r="F20" s="170">
        <v>0</v>
      </c>
      <c r="G20" s="171">
        <f>ROUND(E20*F20,2)</f>
        <v>0</v>
      </c>
      <c r="H20" s="170">
        <v>418</v>
      </c>
      <c r="I20" s="171">
        <f>ROUND(E20*H20,2)</f>
        <v>5747.5</v>
      </c>
      <c r="J20" s="170">
        <v>0</v>
      </c>
      <c r="K20" s="171">
        <f>ROUND(E20*J20,2)</f>
        <v>0</v>
      </c>
      <c r="L20" s="171">
        <v>21</v>
      </c>
      <c r="M20" s="171">
        <f>G20*(1+L20/100)</f>
        <v>0</v>
      </c>
      <c r="N20" s="171">
        <v>1.67</v>
      </c>
      <c r="O20" s="171">
        <f>ROUND(E20*N20,2)</f>
        <v>22.96</v>
      </c>
      <c r="P20" s="171">
        <v>0</v>
      </c>
      <c r="Q20" s="171">
        <f>ROUND(E20*P20,2)</f>
        <v>0</v>
      </c>
      <c r="R20" s="171" t="s">
        <v>169</v>
      </c>
      <c r="S20" s="172" t="s">
        <v>147</v>
      </c>
      <c r="T20" s="156">
        <v>0</v>
      </c>
      <c r="U20" s="156">
        <f>ROUND(E20*T20,2)</f>
        <v>0</v>
      </c>
      <c r="V20" s="156"/>
      <c r="W20" s="156" t="s">
        <v>170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171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184" t="s">
        <v>152</v>
      </c>
      <c r="D21" s="157"/>
      <c r="E21" s="158">
        <v>13.75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 t="s">
        <v>153</v>
      </c>
      <c r="AG21" s="147">
        <v>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x14ac:dyDescent="0.25">
      <c r="A22" s="160" t="s">
        <v>141</v>
      </c>
      <c r="B22" s="161" t="s">
        <v>114</v>
      </c>
      <c r="C22" s="182" t="s">
        <v>27</v>
      </c>
      <c r="D22" s="162"/>
      <c r="E22" s="163"/>
      <c r="F22" s="164"/>
      <c r="G22" s="164">
        <f>SUMIF(AF23:AF35,"&lt;&gt;NOR",G23:G35)</f>
        <v>0</v>
      </c>
      <c r="H22" s="164"/>
      <c r="I22" s="164">
        <f>SUM(I23:I35)</f>
        <v>0</v>
      </c>
      <c r="J22" s="164"/>
      <c r="K22" s="164">
        <f>SUM(K23:K35)</f>
        <v>236500</v>
      </c>
      <c r="L22" s="164"/>
      <c r="M22" s="164">
        <f>SUM(M23:M35)</f>
        <v>0</v>
      </c>
      <c r="N22" s="164"/>
      <c r="O22" s="164">
        <f>SUM(O23:O35)</f>
        <v>0</v>
      </c>
      <c r="P22" s="164"/>
      <c r="Q22" s="164">
        <f>SUM(Q23:Q35)</f>
        <v>0</v>
      </c>
      <c r="R22" s="164"/>
      <c r="S22" s="165"/>
      <c r="T22" s="159"/>
      <c r="U22" s="159">
        <f>SUM(U23:U35)</f>
        <v>0</v>
      </c>
      <c r="V22" s="159"/>
      <c r="W22" s="159"/>
      <c r="AF22" t="s">
        <v>142</v>
      </c>
    </row>
    <row r="23" spans="1:59" outlineLevel="1" x14ac:dyDescent="0.25">
      <c r="A23" s="166">
        <v>6</v>
      </c>
      <c r="B23" s="167" t="s">
        <v>172</v>
      </c>
      <c r="C23" s="183" t="s">
        <v>173</v>
      </c>
      <c r="D23" s="168" t="s">
        <v>174</v>
      </c>
      <c r="E23" s="169">
        <v>1</v>
      </c>
      <c r="F23" s="170">
        <v>0</v>
      </c>
      <c r="G23" s="171">
        <f>ROUND(E23*F23,2)</f>
        <v>0</v>
      </c>
      <c r="H23" s="170">
        <v>0</v>
      </c>
      <c r="I23" s="171">
        <f>ROUND(E23*H23,2)</f>
        <v>0</v>
      </c>
      <c r="J23" s="170">
        <v>8000</v>
      </c>
      <c r="K23" s="171">
        <f>ROUND(E23*J23,2)</f>
        <v>8000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/>
      <c r="S23" s="172" t="s">
        <v>175</v>
      </c>
      <c r="T23" s="156">
        <v>0</v>
      </c>
      <c r="U23" s="156">
        <f>ROUND(E23*T23,2)</f>
        <v>0</v>
      </c>
      <c r="V23" s="156"/>
      <c r="W23" s="156" t="s">
        <v>176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177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54"/>
      <c r="B24" s="155"/>
      <c r="C24" s="250" t="s">
        <v>205</v>
      </c>
      <c r="D24" s="250"/>
      <c r="E24" s="250"/>
      <c r="F24" s="250"/>
      <c r="G24" s="25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166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0.399999999999999" outlineLevel="1" x14ac:dyDescent="0.25">
      <c r="A25" s="154"/>
      <c r="B25" s="155"/>
      <c r="C25" s="252" t="s">
        <v>178</v>
      </c>
      <c r="D25" s="252"/>
      <c r="E25" s="252"/>
      <c r="F25" s="252"/>
      <c r="G25" s="252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166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73" t="str">
        <f>C25</f>
        <v>Vyhotovení protokolu o vytyčení stavby se seznamem souřadnic vytyčených bodů a jejich polohopisnými (S-JTSK) a výškopisnými (Bpv) hodnotami.</v>
      </c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66">
        <v>7</v>
      </c>
      <c r="B26" s="167" t="s">
        <v>179</v>
      </c>
      <c r="C26" s="183" t="s">
        <v>180</v>
      </c>
      <c r="D26" s="168" t="s">
        <v>174</v>
      </c>
      <c r="E26" s="169">
        <v>1</v>
      </c>
      <c r="F26" s="170">
        <v>0</v>
      </c>
      <c r="G26" s="171">
        <f>ROUND(E26*F26,2)</f>
        <v>0</v>
      </c>
      <c r="H26" s="170">
        <v>0</v>
      </c>
      <c r="I26" s="171">
        <f>ROUND(E26*H26,2)</f>
        <v>0</v>
      </c>
      <c r="J26" s="170">
        <v>1500</v>
      </c>
      <c r="K26" s="171">
        <f>ROUND(E26*J26,2)</f>
        <v>1500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2" t="s">
        <v>175</v>
      </c>
      <c r="T26" s="156">
        <v>0</v>
      </c>
      <c r="U26" s="156">
        <f>ROUND(E26*T26,2)</f>
        <v>0</v>
      </c>
      <c r="V26" s="156"/>
      <c r="W26" s="156" t="s">
        <v>176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177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20.399999999999999" outlineLevel="1" x14ac:dyDescent="0.25">
      <c r="A27" s="154"/>
      <c r="B27" s="155"/>
      <c r="C27" s="250" t="s">
        <v>181</v>
      </c>
      <c r="D27" s="250"/>
      <c r="E27" s="250"/>
      <c r="F27" s="250"/>
      <c r="G27" s="25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166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73" t="str">
        <f>C27</f>
        <v>Zaměření a vytýčení stávajících inženýrských sítí v místě stavby z hlediska jejich ochrany při provádění stavby.</v>
      </c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66">
        <v>8</v>
      </c>
      <c r="B28" s="167" t="s">
        <v>182</v>
      </c>
      <c r="C28" s="183" t="s">
        <v>183</v>
      </c>
      <c r="D28" s="168" t="s">
        <v>174</v>
      </c>
      <c r="E28" s="169">
        <v>1</v>
      </c>
      <c r="F28" s="170">
        <v>0</v>
      </c>
      <c r="G28" s="171">
        <f>ROUND(E28*F28,2)</f>
        <v>0</v>
      </c>
      <c r="H28" s="170">
        <v>0</v>
      </c>
      <c r="I28" s="171">
        <f>ROUND(E28*H28,2)</f>
        <v>0</v>
      </c>
      <c r="J28" s="170">
        <v>74000</v>
      </c>
      <c r="K28" s="171">
        <f>ROUND(E28*J28,2)</f>
        <v>74000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2" t="s">
        <v>175</v>
      </c>
      <c r="T28" s="156">
        <v>0</v>
      </c>
      <c r="U28" s="156">
        <f>ROUND(E28*T28,2)</f>
        <v>0</v>
      </c>
      <c r="V28" s="156"/>
      <c r="W28" s="156" t="s">
        <v>176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177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30.6" outlineLevel="1" x14ac:dyDescent="0.25">
      <c r="A29" s="154"/>
      <c r="B29" s="155"/>
      <c r="C29" s="250" t="s">
        <v>184</v>
      </c>
      <c r="D29" s="250"/>
      <c r="E29" s="250"/>
      <c r="F29" s="250"/>
      <c r="G29" s="250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 t="s">
        <v>166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73" t="str">
        <f>C29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66">
        <v>9</v>
      </c>
      <c r="B30" s="167" t="s">
        <v>185</v>
      </c>
      <c r="C30" s="183" t="s">
        <v>186</v>
      </c>
      <c r="D30" s="168" t="s">
        <v>174</v>
      </c>
      <c r="E30" s="169">
        <v>1</v>
      </c>
      <c r="F30" s="170">
        <v>0</v>
      </c>
      <c r="G30" s="171">
        <f>ROUND(E30*F30,2)</f>
        <v>0</v>
      </c>
      <c r="H30" s="170">
        <v>0</v>
      </c>
      <c r="I30" s="171">
        <f>ROUND(E30*H30,2)</f>
        <v>0</v>
      </c>
      <c r="J30" s="170">
        <v>49000</v>
      </c>
      <c r="K30" s="171">
        <f>ROUND(E30*J30,2)</f>
        <v>49000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/>
      <c r="S30" s="172" t="s">
        <v>175</v>
      </c>
      <c r="T30" s="156">
        <v>0</v>
      </c>
      <c r="U30" s="156">
        <f>ROUND(E30*T30,2)</f>
        <v>0</v>
      </c>
      <c r="V30" s="156"/>
      <c r="W30" s="156" t="s">
        <v>176</v>
      </c>
      <c r="X30" s="147"/>
      <c r="Y30" s="147"/>
      <c r="Z30" s="147"/>
      <c r="AA30" s="147"/>
      <c r="AB30" s="147"/>
      <c r="AC30" s="147"/>
      <c r="AD30" s="147"/>
      <c r="AE30" s="147"/>
      <c r="AF30" s="147" t="s">
        <v>177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40.799999999999997" outlineLevel="1" x14ac:dyDescent="0.25">
      <c r="A31" s="154"/>
      <c r="B31" s="155"/>
      <c r="C31" s="250" t="s">
        <v>187</v>
      </c>
      <c r="D31" s="250"/>
      <c r="E31" s="250"/>
      <c r="F31" s="250"/>
      <c r="G31" s="25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 t="s">
        <v>166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73" t="str">
        <f>C31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A31" s="147"/>
      <c r="BB31" s="147"/>
      <c r="BC31" s="147"/>
      <c r="BD31" s="147"/>
      <c r="BE31" s="147"/>
      <c r="BF31" s="147"/>
      <c r="BG31" s="147"/>
    </row>
    <row r="32" spans="1:59" outlineLevel="1" x14ac:dyDescent="0.25">
      <c r="A32" s="166">
        <v>10</v>
      </c>
      <c r="B32" s="167" t="s">
        <v>188</v>
      </c>
      <c r="C32" s="183" t="s">
        <v>189</v>
      </c>
      <c r="D32" s="168" t="s">
        <v>174</v>
      </c>
      <c r="E32" s="169">
        <v>1</v>
      </c>
      <c r="F32" s="170">
        <v>0</v>
      </c>
      <c r="G32" s="171">
        <f>ROUND(E32*F32,2)</f>
        <v>0</v>
      </c>
      <c r="H32" s="170">
        <v>0</v>
      </c>
      <c r="I32" s="171">
        <f>ROUND(E32*H32,2)</f>
        <v>0</v>
      </c>
      <c r="J32" s="170">
        <v>24000</v>
      </c>
      <c r="K32" s="171">
        <f>ROUND(E32*J32,2)</f>
        <v>24000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2" t="s">
        <v>175</v>
      </c>
      <c r="T32" s="156">
        <v>0</v>
      </c>
      <c r="U32" s="156">
        <f>ROUND(E32*T32,2)</f>
        <v>0</v>
      </c>
      <c r="V32" s="156"/>
      <c r="W32" s="156" t="s">
        <v>176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177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30.6" outlineLevel="1" x14ac:dyDescent="0.25">
      <c r="A33" s="154"/>
      <c r="B33" s="155"/>
      <c r="C33" s="250" t="s">
        <v>190</v>
      </c>
      <c r="D33" s="250"/>
      <c r="E33" s="250"/>
      <c r="F33" s="250"/>
      <c r="G33" s="250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 t="s">
        <v>166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73" t="str">
        <f>C33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66">
        <v>11</v>
      </c>
      <c r="B34" s="167" t="s">
        <v>191</v>
      </c>
      <c r="C34" s="183" t="s">
        <v>192</v>
      </c>
      <c r="D34" s="168" t="s">
        <v>174</v>
      </c>
      <c r="E34" s="169">
        <v>1</v>
      </c>
      <c r="F34" s="170">
        <v>0</v>
      </c>
      <c r="G34" s="171">
        <f>ROUND(E34*F34,2)</f>
        <v>0</v>
      </c>
      <c r="H34" s="170">
        <v>0</v>
      </c>
      <c r="I34" s="171">
        <f>ROUND(E34*H34,2)</f>
        <v>0</v>
      </c>
      <c r="J34" s="170">
        <v>80000</v>
      </c>
      <c r="K34" s="171">
        <f>ROUND(E34*J34,2)</f>
        <v>80000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/>
      <c r="S34" s="172" t="s">
        <v>175</v>
      </c>
      <c r="T34" s="156">
        <v>0</v>
      </c>
      <c r="U34" s="156">
        <f>ROUND(E34*T34,2)</f>
        <v>0</v>
      </c>
      <c r="V34" s="156"/>
      <c r="W34" s="156" t="s">
        <v>176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177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54"/>
      <c r="B35" s="155"/>
      <c r="C35" s="250" t="s">
        <v>193</v>
      </c>
      <c r="D35" s="250"/>
      <c r="E35" s="250"/>
      <c r="F35" s="250"/>
      <c r="G35" s="25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166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x14ac:dyDescent="0.25">
      <c r="A36" s="160" t="s">
        <v>141</v>
      </c>
      <c r="B36" s="161" t="s">
        <v>115</v>
      </c>
      <c r="C36" s="182" t="s">
        <v>28</v>
      </c>
      <c r="D36" s="162"/>
      <c r="E36" s="163"/>
      <c r="F36" s="164"/>
      <c r="G36" s="164">
        <f>SUMIF(AF37:AF43,"&lt;&gt;NOR",G37:G43)</f>
        <v>0</v>
      </c>
      <c r="H36" s="164"/>
      <c r="I36" s="164">
        <f>SUM(I37:I43)</f>
        <v>0</v>
      </c>
      <c r="J36" s="164"/>
      <c r="K36" s="164">
        <f>SUM(K37:K43)</f>
        <v>50000</v>
      </c>
      <c r="L36" s="164"/>
      <c r="M36" s="164">
        <f>SUM(M37:M43)</f>
        <v>0</v>
      </c>
      <c r="N36" s="164"/>
      <c r="O36" s="164">
        <f>SUM(O37:O43)</f>
        <v>0</v>
      </c>
      <c r="P36" s="164"/>
      <c r="Q36" s="164">
        <f>SUM(Q37:Q43)</f>
        <v>0</v>
      </c>
      <c r="R36" s="164"/>
      <c r="S36" s="165"/>
      <c r="T36" s="159"/>
      <c r="U36" s="159">
        <f>SUM(U37:U43)</f>
        <v>0</v>
      </c>
      <c r="V36" s="159"/>
      <c r="W36" s="159"/>
      <c r="AF36" t="s">
        <v>142</v>
      </c>
    </row>
    <row r="37" spans="1:59" outlineLevel="1" x14ac:dyDescent="0.25">
      <c r="A37" s="166">
        <v>12</v>
      </c>
      <c r="B37" s="167" t="s">
        <v>194</v>
      </c>
      <c r="C37" s="183" t="s">
        <v>195</v>
      </c>
      <c r="D37" s="168" t="s">
        <v>174</v>
      </c>
      <c r="E37" s="169">
        <v>1</v>
      </c>
      <c r="F37" s="170">
        <v>0</v>
      </c>
      <c r="G37" s="171">
        <f>ROUND(E37*F37,2)</f>
        <v>0</v>
      </c>
      <c r="H37" s="170">
        <v>0</v>
      </c>
      <c r="I37" s="171">
        <f>ROUND(E37*H37,2)</f>
        <v>0</v>
      </c>
      <c r="J37" s="170">
        <v>5000</v>
      </c>
      <c r="K37" s="171">
        <f>ROUND(E37*J37,2)</f>
        <v>5000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2" t="s">
        <v>175</v>
      </c>
      <c r="T37" s="156">
        <v>0</v>
      </c>
      <c r="U37" s="156">
        <f>ROUND(E37*T37,2)</f>
        <v>0</v>
      </c>
      <c r="V37" s="156"/>
      <c r="W37" s="156" t="s">
        <v>176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177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54"/>
      <c r="B38" s="155"/>
      <c r="C38" s="250" t="s">
        <v>196</v>
      </c>
      <c r="D38" s="250"/>
      <c r="E38" s="250"/>
      <c r="F38" s="250"/>
      <c r="G38" s="25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166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66">
        <v>13</v>
      </c>
      <c r="B39" s="167" t="s">
        <v>197</v>
      </c>
      <c r="C39" s="183" t="s">
        <v>198</v>
      </c>
      <c r="D39" s="168" t="s">
        <v>174</v>
      </c>
      <c r="E39" s="169">
        <v>1</v>
      </c>
      <c r="F39" s="170">
        <v>0</v>
      </c>
      <c r="G39" s="171">
        <f>ROUND(E39*F39,2)</f>
        <v>0</v>
      </c>
      <c r="H39" s="170">
        <v>0</v>
      </c>
      <c r="I39" s="171">
        <f>ROUND(E39*H39,2)</f>
        <v>0</v>
      </c>
      <c r="J39" s="170">
        <v>25000</v>
      </c>
      <c r="K39" s="171">
        <f>ROUND(E39*J39,2)</f>
        <v>25000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2" t="s">
        <v>175</v>
      </c>
      <c r="T39" s="156">
        <v>0</v>
      </c>
      <c r="U39" s="156">
        <f>ROUND(E39*T39,2)</f>
        <v>0</v>
      </c>
      <c r="V39" s="156"/>
      <c r="W39" s="156" t="s">
        <v>176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177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40.799999999999997" outlineLevel="1" x14ac:dyDescent="0.25">
      <c r="A40" s="154"/>
      <c r="B40" s="155"/>
      <c r="C40" s="250" t="s">
        <v>199</v>
      </c>
      <c r="D40" s="250"/>
      <c r="E40" s="250"/>
      <c r="F40" s="250"/>
      <c r="G40" s="250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166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73" t="str">
        <f>C40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74">
        <v>14</v>
      </c>
      <c r="B41" s="175" t="s">
        <v>200</v>
      </c>
      <c r="C41" s="185" t="s">
        <v>201</v>
      </c>
      <c r="D41" s="176" t="s">
        <v>174</v>
      </c>
      <c r="E41" s="177">
        <v>1</v>
      </c>
      <c r="F41" s="178">
        <v>0</v>
      </c>
      <c r="G41" s="179">
        <f>ROUND(E41*F41,2)</f>
        <v>0</v>
      </c>
      <c r="H41" s="178">
        <v>0</v>
      </c>
      <c r="I41" s="179">
        <f>ROUND(E41*H41,2)</f>
        <v>0</v>
      </c>
      <c r="J41" s="178">
        <v>15000</v>
      </c>
      <c r="K41" s="179">
        <f>ROUND(E41*J41,2)</f>
        <v>15000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80" t="s">
        <v>175</v>
      </c>
      <c r="T41" s="156">
        <v>0</v>
      </c>
      <c r="U41" s="156">
        <f>ROUND(E41*T41,2)</f>
        <v>0</v>
      </c>
      <c r="V41" s="156"/>
      <c r="W41" s="156" t="s">
        <v>176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177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66">
        <v>15</v>
      </c>
      <c r="B42" s="167" t="s">
        <v>202</v>
      </c>
      <c r="C42" s="183" t="s">
        <v>203</v>
      </c>
      <c r="D42" s="168" t="s">
        <v>174</v>
      </c>
      <c r="E42" s="169">
        <v>1</v>
      </c>
      <c r="F42" s="170">
        <v>0</v>
      </c>
      <c r="G42" s="171">
        <f>ROUND(E42*F42,2)</f>
        <v>0</v>
      </c>
      <c r="H42" s="170">
        <v>0</v>
      </c>
      <c r="I42" s="171">
        <f>ROUND(E42*H42,2)</f>
        <v>0</v>
      </c>
      <c r="J42" s="170">
        <v>5000</v>
      </c>
      <c r="K42" s="171">
        <f>ROUND(E42*J42,2)</f>
        <v>5000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2" t="s">
        <v>175</v>
      </c>
      <c r="T42" s="156">
        <v>0</v>
      </c>
      <c r="U42" s="156">
        <f>ROUND(E42*T42,2)</f>
        <v>0</v>
      </c>
      <c r="V42" s="156"/>
      <c r="W42" s="156" t="s">
        <v>176</v>
      </c>
      <c r="X42" s="147"/>
      <c r="Y42" s="147"/>
      <c r="Z42" s="147"/>
      <c r="AA42" s="147"/>
      <c r="AB42" s="147"/>
      <c r="AC42" s="147"/>
      <c r="AD42" s="147"/>
      <c r="AE42" s="147"/>
      <c r="AF42" s="147" t="s">
        <v>177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250" t="s">
        <v>849</v>
      </c>
      <c r="D43" s="250"/>
      <c r="E43" s="250"/>
      <c r="F43" s="250"/>
      <c r="G43" s="250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166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73" t="str">
        <f>C43</f>
        <v>Náklady na provedení skutečného zaměření stavby v rozsahu nezbytném.</v>
      </c>
      <c r="BA43" s="147"/>
      <c r="BB43" s="147"/>
      <c r="BC43" s="147"/>
      <c r="BD43" s="147"/>
      <c r="BE43" s="147"/>
      <c r="BF43" s="147"/>
      <c r="BG43" s="147"/>
    </row>
    <row r="44" spans="1:59" x14ac:dyDescent="0.25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D44">
        <v>15</v>
      </c>
      <c r="AE44">
        <v>21</v>
      </c>
      <c r="AF44" t="s">
        <v>129</v>
      </c>
    </row>
    <row r="45" spans="1:59" x14ac:dyDescent="0.25">
      <c r="A45" s="150"/>
      <c r="B45" s="151" t="s">
        <v>29</v>
      </c>
      <c r="C45" s="187"/>
      <c r="D45" s="152"/>
      <c r="E45" s="153"/>
      <c r="F45" s="153"/>
      <c r="G45" s="181">
        <f>G8+G22+G36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D45">
        <f>SUMIF(L7:L43,AD44,G7:G43)</f>
        <v>0</v>
      </c>
      <c r="AE45">
        <f>SUMIF(L7:L43,AE44,G7:G43)</f>
        <v>0</v>
      </c>
      <c r="AF45" t="s">
        <v>204</v>
      </c>
    </row>
    <row r="46" spans="1:59" x14ac:dyDescent="0.25">
      <c r="C46" s="188"/>
      <c r="D46" s="10"/>
      <c r="AF46" t="s">
        <v>206</v>
      </c>
    </row>
    <row r="47" spans="1:59" x14ac:dyDescent="0.25">
      <c r="D47" s="10"/>
    </row>
    <row r="48" spans="1:59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6DmPB6VFTLPTayCEHaAxmUBsXsQWZubqK+yW7w8m4s9a/kK/OVe50F0BWM/SuUTmQ6CJUqMO6LUKWRoTMB50g==" saltValue="tmQB6OW5FMnGmxOINanUlQ==" spinCount="100000" sheet="1" objects="1" scenarios="1"/>
  <protectedRanges>
    <protectedRange sqref="F9:F42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G5000"/>
  <sheetViews>
    <sheetView zoomScale="60" zoomScaleNormal="60" workbookViewId="0">
      <pane ySplit="7" topLeftCell="A8" activePane="bottomLeft" state="frozen"/>
      <selection pane="bottomLeft" activeCell="S8" sqref="A8:S8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61</v>
      </c>
      <c r="C4" s="314" t="s">
        <v>62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75</v>
      </c>
      <c r="C8" s="182" t="s">
        <v>76</v>
      </c>
      <c r="D8" s="162"/>
      <c r="E8" s="163"/>
      <c r="F8" s="164"/>
      <c r="G8" s="164">
        <f>SUMIF(AF9:AF64,"&lt;&gt;NOR",G9:G64)</f>
        <v>0</v>
      </c>
      <c r="H8" s="164"/>
      <c r="I8" s="164">
        <f>SUM(I9:I64)</f>
        <v>0</v>
      </c>
      <c r="J8" s="164"/>
      <c r="K8" s="164">
        <f>SUM(K9:K64)</f>
        <v>214665.48</v>
      </c>
      <c r="L8" s="164"/>
      <c r="M8" s="164">
        <f>SUM(M9:M64)</f>
        <v>0</v>
      </c>
      <c r="N8" s="164"/>
      <c r="O8" s="164">
        <f>SUM(O9:O64)</f>
        <v>0</v>
      </c>
      <c r="P8" s="164"/>
      <c r="Q8" s="164">
        <f>SUM(Q9:Q64)</f>
        <v>0</v>
      </c>
      <c r="R8" s="164"/>
      <c r="S8" s="165"/>
      <c r="T8" s="159"/>
      <c r="U8" s="159">
        <f>SUM(U9:U64)</f>
        <v>104.55000000000001</v>
      </c>
      <c r="V8" s="159"/>
      <c r="W8" s="159"/>
      <c r="AF8" t="s">
        <v>142</v>
      </c>
    </row>
    <row r="9" spans="1:59" ht="20.399999999999999" outlineLevel="1" x14ac:dyDescent="0.25">
      <c r="A9" s="166">
        <v>1</v>
      </c>
      <c r="B9" s="167" t="s">
        <v>207</v>
      </c>
      <c r="C9" s="183" t="s">
        <v>208</v>
      </c>
      <c r="D9" s="168" t="s">
        <v>145</v>
      </c>
      <c r="E9" s="169">
        <v>141.54794999999999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114</v>
      </c>
      <c r="K9" s="171">
        <f>ROUND(E9*J9,2)</f>
        <v>16136.47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146</v>
      </c>
      <c r="S9" s="172" t="s">
        <v>147</v>
      </c>
      <c r="T9" s="156">
        <v>0.187</v>
      </c>
      <c r="U9" s="156">
        <f>ROUND(E9*T9,2)</f>
        <v>26.47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53" t="s">
        <v>209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151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4" t="s">
        <v>210</v>
      </c>
      <c r="D11" s="157"/>
      <c r="E11" s="158">
        <v>141.54794999999999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 t="s">
        <v>153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20.399999999999999" outlineLevel="1" x14ac:dyDescent="0.25">
      <c r="A12" s="166">
        <v>2</v>
      </c>
      <c r="B12" s="167" t="s">
        <v>211</v>
      </c>
      <c r="C12" s="183" t="s">
        <v>212</v>
      </c>
      <c r="D12" s="168" t="s">
        <v>145</v>
      </c>
      <c r="E12" s="169">
        <v>70.773979999999995</v>
      </c>
      <c r="F12" s="170">
        <v>0</v>
      </c>
      <c r="G12" s="171">
        <f>ROUND(E12*F12,2)</f>
        <v>0</v>
      </c>
      <c r="H12" s="170">
        <v>0</v>
      </c>
      <c r="I12" s="171">
        <f>ROUND(E12*H12,2)</f>
        <v>0</v>
      </c>
      <c r="J12" s="170">
        <v>37.299999999999997</v>
      </c>
      <c r="K12" s="171">
        <f>ROUND(E12*J12,2)</f>
        <v>2639.87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 t="s">
        <v>146</v>
      </c>
      <c r="S12" s="172" t="s">
        <v>147</v>
      </c>
      <c r="T12" s="156">
        <v>5.8000000000000003E-2</v>
      </c>
      <c r="U12" s="156">
        <f>ROUND(E12*T12,2)</f>
        <v>4.0999999999999996</v>
      </c>
      <c r="V12" s="156"/>
      <c r="W12" s="156" t="s">
        <v>148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149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253" t="s">
        <v>209</v>
      </c>
      <c r="D13" s="253"/>
      <c r="E13" s="253"/>
      <c r="F13" s="253"/>
      <c r="G13" s="253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151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54"/>
      <c r="B14" s="155"/>
      <c r="C14" s="184" t="s">
        <v>213</v>
      </c>
      <c r="D14" s="157"/>
      <c r="E14" s="158">
        <v>70.773979999999995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153</v>
      </c>
      <c r="AG14" s="147">
        <v>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66">
        <v>3</v>
      </c>
      <c r="B15" s="167" t="s">
        <v>214</v>
      </c>
      <c r="C15" s="183" t="s">
        <v>215</v>
      </c>
      <c r="D15" s="168" t="s">
        <v>145</v>
      </c>
      <c r="E15" s="169">
        <v>33.4</v>
      </c>
      <c r="F15" s="170">
        <v>0</v>
      </c>
      <c r="G15" s="171">
        <f>ROUND(E15*F15,2)</f>
        <v>0</v>
      </c>
      <c r="H15" s="170">
        <v>0</v>
      </c>
      <c r="I15" s="171">
        <f>ROUND(E15*H15,2)</f>
        <v>0</v>
      </c>
      <c r="J15" s="170">
        <v>197.5</v>
      </c>
      <c r="K15" s="171">
        <f>ROUND(E15*J15,2)</f>
        <v>6596.5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146</v>
      </c>
      <c r="S15" s="172" t="s">
        <v>147</v>
      </c>
      <c r="T15" s="156">
        <v>0.42199999999999999</v>
      </c>
      <c r="U15" s="156">
        <f>ROUND(E15*T15,2)</f>
        <v>14.09</v>
      </c>
      <c r="V15" s="156"/>
      <c r="W15" s="156" t="s">
        <v>148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149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ht="20.399999999999999" outlineLevel="1" x14ac:dyDescent="0.25">
      <c r="A16" s="154"/>
      <c r="B16" s="155"/>
      <c r="C16" s="253" t="s">
        <v>216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151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73" t="str">
        <f>C16</f>
        <v>s přemístěním výkopku v příčných profilech na vzdálenost do 15 m nebo s naložením na dopravní prostředek.</v>
      </c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184" t="s">
        <v>217</v>
      </c>
      <c r="D17" s="157"/>
      <c r="E17" s="158">
        <v>25.9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153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184" t="s">
        <v>218</v>
      </c>
      <c r="D18" s="157"/>
      <c r="E18" s="158">
        <v>7.5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153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66">
        <v>4</v>
      </c>
      <c r="B19" s="167" t="s">
        <v>219</v>
      </c>
      <c r="C19" s="183" t="s">
        <v>220</v>
      </c>
      <c r="D19" s="168" t="s">
        <v>145</v>
      </c>
      <c r="E19" s="169">
        <v>16.7</v>
      </c>
      <c r="F19" s="170">
        <v>0</v>
      </c>
      <c r="G19" s="171">
        <f>ROUND(E19*F19,2)</f>
        <v>0</v>
      </c>
      <c r="H19" s="170">
        <v>0</v>
      </c>
      <c r="I19" s="171">
        <f>ROUND(E19*H19,2)</f>
        <v>0</v>
      </c>
      <c r="J19" s="170">
        <v>41.5</v>
      </c>
      <c r="K19" s="171">
        <f>ROUND(E19*J19,2)</f>
        <v>693.05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146</v>
      </c>
      <c r="S19" s="172" t="s">
        <v>147</v>
      </c>
      <c r="T19" s="156">
        <v>8.7999999999999995E-2</v>
      </c>
      <c r="U19" s="156">
        <f>ROUND(E19*T19,2)</f>
        <v>1.47</v>
      </c>
      <c r="V19" s="156"/>
      <c r="W19" s="156" t="s">
        <v>148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149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20.399999999999999" outlineLevel="1" x14ac:dyDescent="0.25">
      <c r="A20" s="154"/>
      <c r="B20" s="155"/>
      <c r="C20" s="253" t="s">
        <v>216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151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73" t="str">
        <f>C20</f>
        <v>s přemístěním výkopku v příčných profilech na vzdálenost do 15 m nebo s naložením na dopravní prostředek.</v>
      </c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184" t="s">
        <v>221</v>
      </c>
      <c r="D21" s="157"/>
      <c r="E21" s="158">
        <v>12.95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 t="s">
        <v>153</v>
      </c>
      <c r="AG21" s="147">
        <v>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5">
      <c r="A22" s="154"/>
      <c r="B22" s="155"/>
      <c r="C22" s="184" t="s">
        <v>222</v>
      </c>
      <c r="D22" s="157"/>
      <c r="E22" s="158">
        <v>3.75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153</v>
      </c>
      <c r="AG22" s="147">
        <v>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66">
        <v>5</v>
      </c>
      <c r="B23" s="167" t="s">
        <v>223</v>
      </c>
      <c r="C23" s="183" t="s">
        <v>224</v>
      </c>
      <c r="D23" s="168" t="s">
        <v>145</v>
      </c>
      <c r="E23" s="169">
        <v>7.9508000000000001</v>
      </c>
      <c r="F23" s="170">
        <v>0</v>
      </c>
      <c r="G23" s="171">
        <f>ROUND(E23*F23,2)</f>
        <v>0</v>
      </c>
      <c r="H23" s="170">
        <v>0</v>
      </c>
      <c r="I23" s="171">
        <f>ROUND(E23*H23,2)</f>
        <v>0</v>
      </c>
      <c r="J23" s="170">
        <v>350</v>
      </c>
      <c r="K23" s="171">
        <f>ROUND(E23*J23,2)</f>
        <v>2782.78</v>
      </c>
      <c r="L23" s="171">
        <v>21</v>
      </c>
      <c r="M23" s="171">
        <f>G23*(1+L23/100)</f>
        <v>0</v>
      </c>
      <c r="N23" s="171">
        <v>0</v>
      </c>
      <c r="O23" s="171">
        <f>ROUND(E23*N23,2)</f>
        <v>0</v>
      </c>
      <c r="P23" s="171">
        <v>0</v>
      </c>
      <c r="Q23" s="171">
        <f>ROUND(E23*P23,2)</f>
        <v>0</v>
      </c>
      <c r="R23" s="171" t="s">
        <v>146</v>
      </c>
      <c r="S23" s="172" t="s">
        <v>147</v>
      </c>
      <c r="T23" s="156">
        <v>0.26666000000000001</v>
      </c>
      <c r="U23" s="156">
        <f>ROUND(E23*T23,2)</f>
        <v>2.12</v>
      </c>
      <c r="V23" s="156"/>
      <c r="W23" s="156" t="s">
        <v>148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149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40.799999999999997" outlineLevel="1" x14ac:dyDescent="0.25">
      <c r="A24" s="154"/>
      <c r="B24" s="155"/>
      <c r="C24" s="253" t="s">
        <v>225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151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73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24" s="147"/>
      <c r="BB24" s="147"/>
      <c r="BC24" s="147"/>
      <c r="BD24" s="147"/>
      <c r="BE24" s="147"/>
      <c r="BF24" s="147"/>
      <c r="BG24" s="147"/>
    </row>
    <row r="25" spans="1:59" outlineLevel="1" x14ac:dyDescent="0.25">
      <c r="A25" s="154"/>
      <c r="B25" s="155"/>
      <c r="C25" s="184" t="s">
        <v>226</v>
      </c>
      <c r="D25" s="157"/>
      <c r="E25" s="158">
        <v>7.9508000000000001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153</v>
      </c>
      <c r="AG25" s="147">
        <v>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66">
        <v>6</v>
      </c>
      <c r="B26" s="167" t="s">
        <v>227</v>
      </c>
      <c r="C26" s="183" t="s">
        <v>228</v>
      </c>
      <c r="D26" s="168" t="s">
        <v>145</v>
      </c>
      <c r="E26" s="169">
        <v>3.9754</v>
      </c>
      <c r="F26" s="170">
        <v>0</v>
      </c>
      <c r="G26" s="171">
        <f>ROUND(E26*F26,2)</f>
        <v>0</v>
      </c>
      <c r="H26" s="170">
        <v>0</v>
      </c>
      <c r="I26" s="171">
        <f>ROUND(E26*H26,2)</f>
        <v>0</v>
      </c>
      <c r="J26" s="170">
        <v>23.1</v>
      </c>
      <c r="K26" s="171">
        <f>ROUND(E26*J26,2)</f>
        <v>91.83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 t="s">
        <v>146</v>
      </c>
      <c r="S26" s="172" t="s">
        <v>147</v>
      </c>
      <c r="T26" s="156">
        <v>4.3099999999999999E-2</v>
      </c>
      <c r="U26" s="156">
        <f>ROUND(E26*T26,2)</f>
        <v>0.17</v>
      </c>
      <c r="V26" s="156"/>
      <c r="W26" s="156" t="s">
        <v>148</v>
      </c>
      <c r="X26" s="147"/>
      <c r="Y26" s="147"/>
      <c r="Z26" s="147"/>
      <c r="AA26" s="147"/>
      <c r="AB26" s="147"/>
      <c r="AC26" s="147"/>
      <c r="AD26" s="147"/>
      <c r="AE26" s="147"/>
      <c r="AF26" s="147" t="s">
        <v>149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40.799999999999997" outlineLevel="1" x14ac:dyDescent="0.25">
      <c r="A27" s="154"/>
      <c r="B27" s="155"/>
      <c r="C27" s="253" t="s">
        <v>225</v>
      </c>
      <c r="D27" s="253"/>
      <c r="E27" s="253"/>
      <c r="F27" s="253"/>
      <c r="G27" s="253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151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73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54"/>
      <c r="B28" s="155"/>
      <c r="C28" s="184" t="s">
        <v>229</v>
      </c>
      <c r="D28" s="157"/>
      <c r="E28" s="158">
        <v>3.9754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 t="s">
        <v>153</v>
      </c>
      <c r="AG28" s="147">
        <v>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66">
        <v>7</v>
      </c>
      <c r="B29" s="167" t="s">
        <v>230</v>
      </c>
      <c r="C29" s="183" t="s">
        <v>231</v>
      </c>
      <c r="D29" s="168" t="s">
        <v>145</v>
      </c>
      <c r="E29" s="169">
        <v>36.258600000000001</v>
      </c>
      <c r="F29" s="170">
        <v>0</v>
      </c>
      <c r="G29" s="171">
        <f>ROUND(E29*F29,2)</f>
        <v>0</v>
      </c>
      <c r="H29" s="170">
        <v>0</v>
      </c>
      <c r="I29" s="171">
        <f>ROUND(E29*H29,2)</f>
        <v>0</v>
      </c>
      <c r="J29" s="170">
        <v>480.5</v>
      </c>
      <c r="K29" s="171">
        <f>ROUND(E29*J29,2)</f>
        <v>17422.259999999998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146</v>
      </c>
      <c r="S29" s="172" t="s">
        <v>147</v>
      </c>
      <c r="T29" s="156">
        <v>0.36499999999999999</v>
      </c>
      <c r="U29" s="156">
        <f>ROUND(E29*T29,2)</f>
        <v>13.23</v>
      </c>
      <c r="V29" s="156"/>
      <c r="W29" s="156" t="s">
        <v>148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149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30.6" outlineLevel="1" x14ac:dyDescent="0.25">
      <c r="A30" s="154"/>
      <c r="B30" s="155"/>
      <c r="C30" s="253" t="s">
        <v>232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151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73" t="str">
        <f>C30</f>
        <v>zapažených i nezapažených s urovnáním dna do předepsaného profilu a spádu, s přehozením výkopku na přilehlém terénu na vzdálenost do 3 m od podélné osy rýhy nebo s naložením výkopku na dopravní prostředek.</v>
      </c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54"/>
      <c r="B31" s="155"/>
      <c r="C31" s="184" t="s">
        <v>233</v>
      </c>
      <c r="D31" s="157"/>
      <c r="E31" s="158">
        <v>23.622599999999998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 t="s">
        <v>153</v>
      </c>
      <c r="AG31" s="147">
        <v>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5">
      <c r="A32" s="154"/>
      <c r="B32" s="155"/>
      <c r="C32" s="184" t="s">
        <v>234</v>
      </c>
      <c r="D32" s="157"/>
      <c r="E32" s="158">
        <v>12.635999999999999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153</v>
      </c>
      <c r="AG32" s="147">
        <v>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66">
        <v>8</v>
      </c>
      <c r="B33" s="167" t="s">
        <v>235</v>
      </c>
      <c r="C33" s="183" t="s">
        <v>236</v>
      </c>
      <c r="D33" s="168" t="s">
        <v>145</v>
      </c>
      <c r="E33" s="169">
        <v>18.129300000000001</v>
      </c>
      <c r="F33" s="170">
        <v>0</v>
      </c>
      <c r="G33" s="171">
        <f>ROUND(E33*F33,2)</f>
        <v>0</v>
      </c>
      <c r="H33" s="170">
        <v>0</v>
      </c>
      <c r="I33" s="171">
        <f>ROUND(E33*H33,2)</f>
        <v>0</v>
      </c>
      <c r="J33" s="170">
        <v>164.5</v>
      </c>
      <c r="K33" s="171">
        <f>ROUND(E33*J33,2)</f>
        <v>2982.27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146</v>
      </c>
      <c r="S33" s="172" t="s">
        <v>147</v>
      </c>
      <c r="T33" s="156">
        <v>0.38979999999999998</v>
      </c>
      <c r="U33" s="156">
        <f>ROUND(E33*T33,2)</f>
        <v>7.07</v>
      </c>
      <c r="V33" s="156"/>
      <c r="W33" s="156" t="s">
        <v>148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149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30.6" outlineLevel="1" x14ac:dyDescent="0.25">
      <c r="A34" s="154"/>
      <c r="B34" s="155"/>
      <c r="C34" s="253" t="s">
        <v>232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 t="s">
        <v>151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73" t="str">
        <f>C34</f>
        <v>zapažených i nezapažených s urovnáním dna do předepsaného profilu a spádu, s přehozením výkopku na přilehlém terénu na vzdálenost do 3 m od podélné osy rýhy nebo s naložením výkopku na dopravní prostředek.</v>
      </c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54"/>
      <c r="B35" s="155"/>
      <c r="C35" s="184" t="s">
        <v>237</v>
      </c>
      <c r="D35" s="157"/>
      <c r="E35" s="158">
        <v>11.811299999999999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153</v>
      </c>
      <c r="AG35" s="147">
        <v>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54"/>
      <c r="B36" s="155"/>
      <c r="C36" s="184" t="s">
        <v>238</v>
      </c>
      <c r="D36" s="157"/>
      <c r="E36" s="158">
        <v>6.3179999999999996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 t="s">
        <v>153</v>
      </c>
      <c r="AG36" s="147">
        <v>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66">
        <v>9</v>
      </c>
      <c r="B37" s="167" t="s">
        <v>143</v>
      </c>
      <c r="C37" s="183" t="s">
        <v>239</v>
      </c>
      <c r="D37" s="168" t="s">
        <v>145</v>
      </c>
      <c r="E37" s="169">
        <v>151.97274999999999</v>
      </c>
      <c r="F37" s="170">
        <v>0</v>
      </c>
      <c r="G37" s="171">
        <f>ROUND(E37*F37,2)</f>
        <v>0</v>
      </c>
      <c r="H37" s="170">
        <v>0</v>
      </c>
      <c r="I37" s="171">
        <f>ROUND(E37*H37,2)</f>
        <v>0</v>
      </c>
      <c r="J37" s="170">
        <v>264.5</v>
      </c>
      <c r="K37" s="171">
        <f>ROUND(E37*J37,2)</f>
        <v>40196.79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146</v>
      </c>
      <c r="S37" s="172" t="s">
        <v>147</v>
      </c>
      <c r="T37" s="156">
        <v>1.0999999999999999E-2</v>
      </c>
      <c r="U37" s="156">
        <f>ROUND(E37*T37,2)</f>
        <v>1.67</v>
      </c>
      <c r="V37" s="156"/>
      <c r="W37" s="156" t="s">
        <v>148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149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54"/>
      <c r="B38" s="155"/>
      <c r="C38" s="253" t="s">
        <v>150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151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54"/>
      <c r="B39" s="155"/>
      <c r="C39" s="184" t="s">
        <v>210</v>
      </c>
      <c r="D39" s="157"/>
      <c r="E39" s="158">
        <v>141.54794999999999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 t="s">
        <v>153</v>
      </c>
      <c r="AG39" s="147">
        <v>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54"/>
      <c r="B40" s="155"/>
      <c r="C40" s="184" t="s">
        <v>217</v>
      </c>
      <c r="D40" s="157"/>
      <c r="E40" s="158">
        <v>25.9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153</v>
      </c>
      <c r="AG40" s="147">
        <v>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54"/>
      <c r="B41" s="155"/>
      <c r="C41" s="184" t="s">
        <v>218</v>
      </c>
      <c r="D41" s="157"/>
      <c r="E41" s="158">
        <v>7.5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153</v>
      </c>
      <c r="AG41" s="147">
        <v>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54"/>
      <c r="B42" s="155"/>
      <c r="C42" s="184" t="s">
        <v>240</v>
      </c>
      <c r="D42" s="157"/>
      <c r="E42" s="158">
        <v>-58.6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 t="s">
        <v>153</v>
      </c>
      <c r="AG42" s="147">
        <v>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184" t="s">
        <v>226</v>
      </c>
      <c r="D43" s="157"/>
      <c r="E43" s="158">
        <v>7.9508000000000001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153</v>
      </c>
      <c r="AG43" s="147">
        <v>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outlineLevel="1" x14ac:dyDescent="0.25">
      <c r="A44" s="154"/>
      <c r="B44" s="155"/>
      <c r="C44" s="184" t="s">
        <v>233</v>
      </c>
      <c r="D44" s="157"/>
      <c r="E44" s="158">
        <v>23.622599999999998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47"/>
      <c r="Y44" s="147"/>
      <c r="Z44" s="147"/>
      <c r="AA44" s="147"/>
      <c r="AB44" s="147"/>
      <c r="AC44" s="147"/>
      <c r="AD44" s="147"/>
      <c r="AE44" s="147"/>
      <c r="AF44" s="147" t="s">
        <v>153</v>
      </c>
      <c r="AG44" s="147">
        <v>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outlineLevel="1" x14ac:dyDescent="0.25">
      <c r="A45" s="154"/>
      <c r="B45" s="155"/>
      <c r="C45" s="184" t="s">
        <v>234</v>
      </c>
      <c r="D45" s="157"/>
      <c r="E45" s="158">
        <v>12.635999999999999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47"/>
      <c r="Y45" s="147"/>
      <c r="Z45" s="147"/>
      <c r="AA45" s="147"/>
      <c r="AB45" s="147"/>
      <c r="AC45" s="147"/>
      <c r="AD45" s="147"/>
      <c r="AE45" s="147"/>
      <c r="AF45" s="147" t="s">
        <v>153</v>
      </c>
      <c r="AG45" s="147">
        <v>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54"/>
      <c r="B46" s="155"/>
      <c r="C46" s="184" t="s">
        <v>241</v>
      </c>
      <c r="D46" s="157"/>
      <c r="E46" s="158">
        <v>-6.7906000000000004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 t="s">
        <v>153</v>
      </c>
      <c r="AG46" s="147">
        <v>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54"/>
      <c r="B47" s="155"/>
      <c r="C47" s="184" t="s">
        <v>242</v>
      </c>
      <c r="D47" s="157"/>
      <c r="E47" s="158">
        <v>-1.794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 t="s">
        <v>153</v>
      </c>
      <c r="AG47" s="147">
        <v>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40.799999999999997" outlineLevel="1" x14ac:dyDescent="0.25">
      <c r="A48" s="166">
        <v>10</v>
      </c>
      <c r="B48" s="167" t="s">
        <v>243</v>
      </c>
      <c r="C48" s="183" t="s">
        <v>244</v>
      </c>
      <c r="D48" s="168" t="s">
        <v>145</v>
      </c>
      <c r="E48" s="169">
        <v>58.6</v>
      </c>
      <c r="F48" s="170">
        <v>0</v>
      </c>
      <c r="G48" s="171">
        <f>ROUND(E48*F48,2)</f>
        <v>0</v>
      </c>
      <c r="H48" s="170">
        <v>0</v>
      </c>
      <c r="I48" s="171">
        <f>ROUND(E48*H48,2)</f>
        <v>0</v>
      </c>
      <c r="J48" s="170">
        <v>68.3</v>
      </c>
      <c r="K48" s="171">
        <f>ROUND(E48*J48,2)</f>
        <v>4002.38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 t="s">
        <v>146</v>
      </c>
      <c r="S48" s="172" t="s">
        <v>147</v>
      </c>
      <c r="T48" s="156">
        <v>5.3999999999999999E-2</v>
      </c>
      <c r="U48" s="156">
        <f>ROUND(E48*T48,2)</f>
        <v>3.16</v>
      </c>
      <c r="V48" s="156"/>
      <c r="W48" s="156" t="s">
        <v>148</v>
      </c>
      <c r="X48" s="147"/>
      <c r="Y48" s="147"/>
      <c r="Z48" s="147"/>
      <c r="AA48" s="147"/>
      <c r="AB48" s="147"/>
      <c r="AC48" s="147"/>
      <c r="AD48" s="147"/>
      <c r="AE48" s="147"/>
      <c r="AF48" s="147" t="s">
        <v>149</v>
      </c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outlineLevel="1" x14ac:dyDescent="0.25">
      <c r="A49" s="154"/>
      <c r="B49" s="155"/>
      <c r="C49" s="253" t="s">
        <v>245</v>
      </c>
      <c r="D49" s="253"/>
      <c r="E49" s="253"/>
      <c r="F49" s="253"/>
      <c r="G49" s="253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47"/>
      <c r="Y49" s="147"/>
      <c r="Z49" s="147"/>
      <c r="AA49" s="147"/>
      <c r="AB49" s="147"/>
      <c r="AC49" s="147"/>
      <c r="AD49" s="147"/>
      <c r="AE49" s="147"/>
      <c r="AF49" s="147" t="s">
        <v>151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5">
      <c r="A50" s="154"/>
      <c r="B50" s="155"/>
      <c r="C50" s="184" t="s">
        <v>246</v>
      </c>
      <c r="D50" s="157"/>
      <c r="E50" s="158">
        <v>47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 t="s">
        <v>153</v>
      </c>
      <c r="AG50" s="147">
        <v>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outlineLevel="1" x14ac:dyDescent="0.25">
      <c r="A51" s="154"/>
      <c r="B51" s="155"/>
      <c r="C51" s="184" t="s">
        <v>247</v>
      </c>
      <c r="D51" s="157"/>
      <c r="E51" s="158">
        <v>11.6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47"/>
      <c r="Y51" s="147"/>
      <c r="Z51" s="147"/>
      <c r="AA51" s="147"/>
      <c r="AB51" s="147"/>
      <c r="AC51" s="147"/>
      <c r="AD51" s="147"/>
      <c r="AE51" s="147"/>
      <c r="AF51" s="147" t="s">
        <v>153</v>
      </c>
      <c r="AG51" s="147">
        <v>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20.399999999999999" outlineLevel="1" x14ac:dyDescent="0.25">
      <c r="A52" s="174">
        <v>11</v>
      </c>
      <c r="B52" s="175" t="s">
        <v>248</v>
      </c>
      <c r="C52" s="185" t="s">
        <v>249</v>
      </c>
      <c r="D52" s="176" t="s">
        <v>145</v>
      </c>
      <c r="E52" s="177">
        <v>151.97274999999999</v>
      </c>
      <c r="F52" s="178">
        <v>0</v>
      </c>
      <c r="G52" s="179">
        <f>ROUND(E52*F52,2)</f>
        <v>0</v>
      </c>
      <c r="H52" s="178">
        <v>0</v>
      </c>
      <c r="I52" s="179">
        <f>ROUND(E52*H52,2)</f>
        <v>0</v>
      </c>
      <c r="J52" s="178">
        <v>16.3</v>
      </c>
      <c r="K52" s="179">
        <f>ROUND(E52*J52,2)</f>
        <v>2477.16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 t="s">
        <v>146</v>
      </c>
      <c r="S52" s="180" t="s">
        <v>147</v>
      </c>
      <c r="T52" s="156">
        <v>8.9999999999999993E-3</v>
      </c>
      <c r="U52" s="156">
        <f>ROUND(E52*T52,2)</f>
        <v>1.37</v>
      </c>
      <c r="V52" s="156"/>
      <c r="W52" s="156" t="s">
        <v>148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149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66">
        <v>12</v>
      </c>
      <c r="B53" s="167" t="s">
        <v>250</v>
      </c>
      <c r="C53" s="183" t="s">
        <v>251</v>
      </c>
      <c r="D53" s="168" t="s">
        <v>145</v>
      </c>
      <c r="E53" s="169">
        <v>8.5846</v>
      </c>
      <c r="F53" s="170">
        <v>0</v>
      </c>
      <c r="G53" s="171">
        <f>ROUND(E53*F53,2)</f>
        <v>0</v>
      </c>
      <c r="H53" s="170">
        <v>0</v>
      </c>
      <c r="I53" s="171">
        <f>ROUND(E53*H53,2)</f>
        <v>0</v>
      </c>
      <c r="J53" s="170">
        <v>121</v>
      </c>
      <c r="K53" s="171">
        <f>ROUND(E53*J53,2)</f>
        <v>1038.74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 t="s">
        <v>146</v>
      </c>
      <c r="S53" s="172" t="s">
        <v>147</v>
      </c>
      <c r="T53" s="156">
        <v>0.20200000000000001</v>
      </c>
      <c r="U53" s="156">
        <f>ROUND(E53*T53,2)</f>
        <v>1.73</v>
      </c>
      <c r="V53" s="156"/>
      <c r="W53" s="156" t="s">
        <v>148</v>
      </c>
      <c r="X53" s="147"/>
      <c r="Y53" s="147"/>
      <c r="Z53" s="147"/>
      <c r="AA53" s="147"/>
      <c r="AB53" s="147"/>
      <c r="AC53" s="147"/>
      <c r="AD53" s="147"/>
      <c r="AE53" s="147"/>
      <c r="AF53" s="147" t="s">
        <v>149</v>
      </c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5">
      <c r="A54" s="154"/>
      <c r="B54" s="155"/>
      <c r="C54" s="253" t="s">
        <v>252</v>
      </c>
      <c r="D54" s="253"/>
      <c r="E54" s="253"/>
      <c r="F54" s="253"/>
      <c r="G54" s="253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47"/>
      <c r="Y54" s="147"/>
      <c r="Z54" s="147"/>
      <c r="AA54" s="147"/>
      <c r="AB54" s="147"/>
      <c r="AC54" s="147"/>
      <c r="AD54" s="147"/>
      <c r="AE54" s="147"/>
      <c r="AF54" s="147" t="s">
        <v>151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5">
      <c r="A55" s="154"/>
      <c r="B55" s="155"/>
      <c r="C55" s="254" t="s">
        <v>253</v>
      </c>
      <c r="D55" s="254"/>
      <c r="E55" s="254"/>
      <c r="F55" s="254"/>
      <c r="G55" s="254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 t="s">
        <v>166</v>
      </c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5">
      <c r="A56" s="154"/>
      <c r="B56" s="155"/>
      <c r="C56" s="184" t="s">
        <v>254</v>
      </c>
      <c r="D56" s="157"/>
      <c r="E56" s="158">
        <v>6.7906000000000004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47"/>
      <c r="Y56" s="147"/>
      <c r="Z56" s="147"/>
      <c r="AA56" s="147"/>
      <c r="AB56" s="147"/>
      <c r="AC56" s="147"/>
      <c r="AD56" s="147"/>
      <c r="AE56" s="147"/>
      <c r="AF56" s="147" t="s">
        <v>153</v>
      </c>
      <c r="AG56" s="147">
        <v>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outlineLevel="1" x14ac:dyDescent="0.25">
      <c r="A57" s="154"/>
      <c r="B57" s="155"/>
      <c r="C57" s="184" t="s">
        <v>255</v>
      </c>
      <c r="D57" s="157"/>
      <c r="E57" s="158">
        <v>1.794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 t="s">
        <v>153</v>
      </c>
      <c r="AG57" s="147">
        <v>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outlineLevel="1" x14ac:dyDescent="0.25">
      <c r="A58" s="166">
        <v>13</v>
      </c>
      <c r="B58" s="167" t="s">
        <v>256</v>
      </c>
      <c r="C58" s="183" t="s">
        <v>257</v>
      </c>
      <c r="D58" s="168" t="s">
        <v>158</v>
      </c>
      <c r="E58" s="169">
        <v>1550</v>
      </c>
      <c r="F58" s="170">
        <v>0</v>
      </c>
      <c r="G58" s="171">
        <f>ROUND(E58*F58,2)</f>
        <v>0</v>
      </c>
      <c r="H58" s="170">
        <v>0</v>
      </c>
      <c r="I58" s="171">
        <f>ROUND(E58*H58,2)</f>
        <v>0</v>
      </c>
      <c r="J58" s="170">
        <v>13</v>
      </c>
      <c r="K58" s="171">
        <f>ROUND(E58*J58,2)</f>
        <v>20150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 t="s">
        <v>146</v>
      </c>
      <c r="S58" s="172" t="s">
        <v>147</v>
      </c>
      <c r="T58" s="156">
        <v>1.7999999999999999E-2</v>
      </c>
      <c r="U58" s="156">
        <f>ROUND(E58*T58,2)</f>
        <v>27.9</v>
      </c>
      <c r="V58" s="156"/>
      <c r="W58" s="156" t="s">
        <v>148</v>
      </c>
      <c r="X58" s="147"/>
      <c r="Y58" s="147"/>
      <c r="Z58" s="147"/>
      <c r="AA58" s="147"/>
      <c r="AB58" s="147"/>
      <c r="AC58" s="147"/>
      <c r="AD58" s="147"/>
      <c r="AE58" s="147"/>
      <c r="AF58" s="147" t="s">
        <v>149</v>
      </c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outlineLevel="1" x14ac:dyDescent="0.25">
      <c r="A59" s="154"/>
      <c r="B59" s="155"/>
      <c r="C59" s="253" t="s">
        <v>258</v>
      </c>
      <c r="D59" s="253"/>
      <c r="E59" s="253"/>
      <c r="F59" s="253"/>
      <c r="G59" s="253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47"/>
      <c r="Y59" s="147"/>
      <c r="Z59" s="147"/>
      <c r="AA59" s="147"/>
      <c r="AB59" s="147"/>
      <c r="AC59" s="147"/>
      <c r="AD59" s="147"/>
      <c r="AE59" s="147"/>
      <c r="AF59" s="147" t="s">
        <v>151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 x14ac:dyDescent="0.25">
      <c r="A60" s="154"/>
      <c r="B60" s="155"/>
      <c r="C60" s="184" t="s">
        <v>259</v>
      </c>
      <c r="D60" s="157"/>
      <c r="E60" s="158">
        <v>1550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 t="s">
        <v>153</v>
      </c>
      <c r="AG60" s="147">
        <v>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5">
      <c r="A61" s="166">
        <v>14</v>
      </c>
      <c r="B61" s="167" t="s">
        <v>260</v>
      </c>
      <c r="C61" s="183" t="s">
        <v>261</v>
      </c>
      <c r="D61" s="168" t="s">
        <v>145</v>
      </c>
      <c r="E61" s="169">
        <v>226.47672</v>
      </c>
      <c r="F61" s="170">
        <v>0</v>
      </c>
      <c r="G61" s="171">
        <f>ROUND(E61*F61,2)</f>
        <v>0</v>
      </c>
      <c r="H61" s="170">
        <v>0</v>
      </c>
      <c r="I61" s="171">
        <f>ROUND(E61*H61,2)</f>
        <v>0</v>
      </c>
      <c r="J61" s="170">
        <v>280</v>
      </c>
      <c r="K61" s="171">
        <f>ROUND(E61*J61,2)</f>
        <v>63413.48</v>
      </c>
      <c r="L61" s="171">
        <v>21</v>
      </c>
      <c r="M61" s="171">
        <f>G61*(1+L61/100)</f>
        <v>0</v>
      </c>
      <c r="N61" s="171">
        <v>0</v>
      </c>
      <c r="O61" s="171">
        <f>ROUND(E61*N61,2)</f>
        <v>0</v>
      </c>
      <c r="P61" s="171">
        <v>0</v>
      </c>
      <c r="Q61" s="171">
        <f>ROUND(E61*P61,2)</f>
        <v>0</v>
      </c>
      <c r="R61" s="171" t="s">
        <v>146</v>
      </c>
      <c r="S61" s="172" t="s">
        <v>147</v>
      </c>
      <c r="T61" s="156">
        <v>0</v>
      </c>
      <c r="U61" s="156">
        <f>ROUND(E61*T61,2)</f>
        <v>0</v>
      </c>
      <c r="V61" s="156"/>
      <c r="W61" s="156" t="s">
        <v>148</v>
      </c>
      <c r="X61" s="147"/>
      <c r="Y61" s="147"/>
      <c r="Z61" s="147"/>
      <c r="AA61" s="147"/>
      <c r="AB61" s="147"/>
      <c r="AC61" s="147"/>
      <c r="AD61" s="147"/>
      <c r="AE61" s="147"/>
      <c r="AF61" s="147" t="s">
        <v>149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 x14ac:dyDescent="0.25">
      <c r="A62" s="154"/>
      <c r="B62" s="155"/>
      <c r="C62" s="184" t="s">
        <v>262</v>
      </c>
      <c r="D62" s="157"/>
      <c r="E62" s="158">
        <v>226.47672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 t="s">
        <v>153</v>
      </c>
      <c r="AG62" s="147">
        <v>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 x14ac:dyDescent="0.25">
      <c r="A63" s="166">
        <v>15</v>
      </c>
      <c r="B63" s="167" t="s">
        <v>263</v>
      </c>
      <c r="C63" s="183" t="s">
        <v>264</v>
      </c>
      <c r="D63" s="168" t="s">
        <v>265</v>
      </c>
      <c r="E63" s="169">
        <v>243.15639999999999</v>
      </c>
      <c r="F63" s="170">
        <v>0</v>
      </c>
      <c r="G63" s="171">
        <f>ROUND(E63*F63,2)</f>
        <v>0</v>
      </c>
      <c r="H63" s="170">
        <v>0</v>
      </c>
      <c r="I63" s="171">
        <f>ROUND(E63*H63,2)</f>
        <v>0</v>
      </c>
      <c r="J63" s="170">
        <v>140</v>
      </c>
      <c r="K63" s="171">
        <f>ROUND(E63*J63,2)</f>
        <v>34041.9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 t="s">
        <v>146</v>
      </c>
      <c r="S63" s="172" t="s">
        <v>147</v>
      </c>
      <c r="T63" s="156">
        <v>0</v>
      </c>
      <c r="U63" s="156">
        <f>ROUND(E63*T63,2)</f>
        <v>0</v>
      </c>
      <c r="V63" s="156"/>
      <c r="W63" s="156" t="s">
        <v>148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149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5">
      <c r="A64" s="154"/>
      <c r="B64" s="155"/>
      <c r="C64" s="184" t="s">
        <v>266</v>
      </c>
      <c r="D64" s="157"/>
      <c r="E64" s="158">
        <v>243.15639999999999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 t="s">
        <v>153</v>
      </c>
      <c r="AG64" s="147">
        <v>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x14ac:dyDescent="0.25">
      <c r="A65" s="160" t="s">
        <v>141</v>
      </c>
      <c r="B65" s="161" t="s">
        <v>77</v>
      </c>
      <c r="C65" s="182" t="s">
        <v>78</v>
      </c>
      <c r="D65" s="162"/>
      <c r="E65" s="163"/>
      <c r="F65" s="164"/>
      <c r="G65" s="164">
        <f>SUMIF(AF66:AF87,"&lt;&gt;NOR",G66:G87)</f>
        <v>0</v>
      </c>
      <c r="H65" s="164"/>
      <c r="I65" s="164">
        <f>SUM(I66:I87)</f>
        <v>58519.75</v>
      </c>
      <c r="J65" s="164"/>
      <c r="K65" s="164">
        <f>SUM(K66:K87)</f>
        <v>59048.329999999994</v>
      </c>
      <c r="L65" s="164"/>
      <c r="M65" s="164">
        <f>SUM(M66:M87)</f>
        <v>0</v>
      </c>
      <c r="N65" s="164"/>
      <c r="O65" s="164">
        <f>SUM(O66:O87)</f>
        <v>16.95</v>
      </c>
      <c r="P65" s="164"/>
      <c r="Q65" s="164">
        <f>SUM(Q66:Q87)</f>
        <v>0</v>
      </c>
      <c r="R65" s="164"/>
      <c r="S65" s="165"/>
      <c r="T65" s="159"/>
      <c r="U65" s="159">
        <f>SUM(U66:U87)</f>
        <v>147.97</v>
      </c>
      <c r="V65" s="159"/>
      <c r="W65" s="159"/>
      <c r="AF65" t="s">
        <v>142</v>
      </c>
    </row>
    <row r="66" spans="1:59" outlineLevel="1" x14ac:dyDescent="0.25">
      <c r="A66" s="166">
        <v>16</v>
      </c>
      <c r="B66" s="167" t="s">
        <v>267</v>
      </c>
      <c r="C66" s="183" t="s">
        <v>268</v>
      </c>
      <c r="D66" s="168" t="s">
        <v>145</v>
      </c>
      <c r="E66" s="169">
        <v>5.6350800000000003</v>
      </c>
      <c r="F66" s="170">
        <v>0</v>
      </c>
      <c r="G66" s="171">
        <f>ROUND(E66*F66,2)</f>
        <v>0</v>
      </c>
      <c r="H66" s="170">
        <v>2043.43</v>
      </c>
      <c r="I66" s="171">
        <f>ROUND(E66*H66,2)</f>
        <v>11514.89</v>
      </c>
      <c r="J66" s="170">
        <v>276.57</v>
      </c>
      <c r="K66" s="171">
        <f>ROUND(E66*J66,2)</f>
        <v>1558.49</v>
      </c>
      <c r="L66" s="171">
        <v>21</v>
      </c>
      <c r="M66" s="171">
        <f>G66*(1+L66/100)</f>
        <v>0</v>
      </c>
      <c r="N66" s="171">
        <v>2.5249999999999999</v>
      </c>
      <c r="O66" s="171">
        <f>ROUND(E66*N66,2)</f>
        <v>14.23</v>
      </c>
      <c r="P66" s="171">
        <v>0</v>
      </c>
      <c r="Q66" s="171">
        <f>ROUND(E66*P66,2)</f>
        <v>0</v>
      </c>
      <c r="R66" s="171" t="s">
        <v>269</v>
      </c>
      <c r="S66" s="172" t="s">
        <v>147</v>
      </c>
      <c r="T66" s="156">
        <v>0.47699999999999998</v>
      </c>
      <c r="U66" s="156">
        <f>ROUND(E66*T66,2)</f>
        <v>2.69</v>
      </c>
      <c r="V66" s="156"/>
      <c r="W66" s="156" t="s">
        <v>148</v>
      </c>
      <c r="X66" s="147"/>
      <c r="Y66" s="147"/>
      <c r="Z66" s="147"/>
      <c r="AA66" s="147"/>
      <c r="AB66" s="147"/>
      <c r="AC66" s="147"/>
      <c r="AD66" s="147"/>
      <c r="AE66" s="147"/>
      <c r="AF66" s="147" t="s">
        <v>149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5">
      <c r="A67" s="154"/>
      <c r="B67" s="155"/>
      <c r="C67" s="253" t="s">
        <v>270</v>
      </c>
      <c r="D67" s="253"/>
      <c r="E67" s="253"/>
      <c r="F67" s="253"/>
      <c r="G67" s="253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 t="s">
        <v>151</v>
      </c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 x14ac:dyDescent="0.25">
      <c r="A68" s="154"/>
      <c r="B68" s="155"/>
      <c r="C68" s="184" t="s">
        <v>271</v>
      </c>
      <c r="D68" s="157"/>
      <c r="E68" s="158">
        <v>3.5758800000000002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47"/>
      <c r="Y68" s="147"/>
      <c r="Z68" s="147"/>
      <c r="AA68" s="147"/>
      <c r="AB68" s="147"/>
      <c r="AC68" s="147"/>
      <c r="AD68" s="147"/>
      <c r="AE68" s="147"/>
      <c r="AF68" s="147" t="s">
        <v>153</v>
      </c>
      <c r="AG68" s="147">
        <v>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5">
      <c r="A69" s="154"/>
      <c r="B69" s="155"/>
      <c r="C69" s="184" t="s">
        <v>272</v>
      </c>
      <c r="D69" s="157"/>
      <c r="E69" s="158">
        <v>2.0592000000000001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 t="s">
        <v>153</v>
      </c>
      <c r="AG69" s="147">
        <v>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outlineLevel="1" x14ac:dyDescent="0.25">
      <c r="A70" s="166">
        <v>17</v>
      </c>
      <c r="B70" s="167" t="s">
        <v>273</v>
      </c>
      <c r="C70" s="183" t="s">
        <v>274</v>
      </c>
      <c r="D70" s="168" t="s">
        <v>158</v>
      </c>
      <c r="E70" s="169">
        <v>61.128</v>
      </c>
      <c r="F70" s="170">
        <v>0</v>
      </c>
      <c r="G70" s="171">
        <f>ROUND(E70*F70,2)</f>
        <v>0</v>
      </c>
      <c r="H70" s="170">
        <v>161.61000000000001</v>
      </c>
      <c r="I70" s="171">
        <f>ROUND(E70*H70,2)</f>
        <v>9878.9</v>
      </c>
      <c r="J70" s="170">
        <v>613.39</v>
      </c>
      <c r="K70" s="171">
        <f>ROUND(E70*J70,2)</f>
        <v>37495.300000000003</v>
      </c>
      <c r="L70" s="171">
        <v>21</v>
      </c>
      <c r="M70" s="171">
        <f>G70*(1+L70/100)</f>
        <v>0</v>
      </c>
      <c r="N70" s="171">
        <v>3.9199999999999999E-2</v>
      </c>
      <c r="O70" s="171">
        <f>ROUND(E70*N70,2)</f>
        <v>2.4</v>
      </c>
      <c r="P70" s="171">
        <v>0</v>
      </c>
      <c r="Q70" s="171">
        <f>ROUND(E70*P70,2)</f>
        <v>0</v>
      </c>
      <c r="R70" s="171" t="s">
        <v>269</v>
      </c>
      <c r="S70" s="172" t="s">
        <v>147</v>
      </c>
      <c r="T70" s="156">
        <v>1.6</v>
      </c>
      <c r="U70" s="156">
        <f>ROUND(E70*T70,2)</f>
        <v>97.8</v>
      </c>
      <c r="V70" s="156"/>
      <c r="W70" s="156" t="s">
        <v>148</v>
      </c>
      <c r="X70" s="147"/>
      <c r="Y70" s="147"/>
      <c r="Z70" s="147"/>
      <c r="AA70" s="147"/>
      <c r="AB70" s="147"/>
      <c r="AC70" s="147"/>
      <c r="AD70" s="147"/>
      <c r="AE70" s="147"/>
      <c r="AF70" s="147" t="s">
        <v>149</v>
      </c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21" outlineLevel="1" x14ac:dyDescent="0.25">
      <c r="A71" s="154"/>
      <c r="B71" s="155"/>
      <c r="C71" s="253" t="s">
        <v>275</v>
      </c>
      <c r="D71" s="253"/>
      <c r="E71" s="253"/>
      <c r="F71" s="253"/>
      <c r="G71" s="253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47"/>
      <c r="Y71" s="147"/>
      <c r="Z71" s="147"/>
      <c r="AA71" s="147"/>
      <c r="AB71" s="147"/>
      <c r="AC71" s="147"/>
      <c r="AD71" s="147"/>
      <c r="AE71" s="147"/>
      <c r="AF71" s="147" t="s">
        <v>151</v>
      </c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73" t="str">
        <f>C71</f>
        <v>svislé nebo šikmé (odkloněné) , půdorysně přímé nebo zalomené, stěn základových desek ve volných nebo zapažených jámách, rýhách, šachtách, včetně případných vzpěr,</v>
      </c>
      <c r="BA71" s="147"/>
      <c r="BB71" s="147"/>
      <c r="BC71" s="147"/>
      <c r="BD71" s="147"/>
      <c r="BE71" s="147"/>
      <c r="BF71" s="147"/>
      <c r="BG71" s="147"/>
    </row>
    <row r="72" spans="1:59" ht="20.399999999999999" outlineLevel="1" x14ac:dyDescent="0.25">
      <c r="A72" s="154"/>
      <c r="B72" s="155"/>
      <c r="C72" s="184" t="s">
        <v>276</v>
      </c>
      <c r="D72" s="157"/>
      <c r="E72" s="158">
        <v>61.128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 t="s">
        <v>153</v>
      </c>
      <c r="AG72" s="147">
        <v>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outlineLevel="1" x14ac:dyDescent="0.25">
      <c r="A73" s="166">
        <v>18</v>
      </c>
      <c r="B73" s="167" t="s">
        <v>277</v>
      </c>
      <c r="C73" s="183" t="s">
        <v>278</v>
      </c>
      <c r="D73" s="168" t="s">
        <v>158</v>
      </c>
      <c r="E73" s="169">
        <v>61.128</v>
      </c>
      <c r="F73" s="170">
        <v>0</v>
      </c>
      <c r="G73" s="171">
        <f>ROUND(E73*F73,2)</f>
        <v>0</v>
      </c>
      <c r="H73" s="170">
        <v>0</v>
      </c>
      <c r="I73" s="171">
        <f>ROUND(E73*H73,2)</f>
        <v>0</v>
      </c>
      <c r="J73" s="170">
        <v>123.5</v>
      </c>
      <c r="K73" s="171">
        <f>ROUND(E73*J73,2)</f>
        <v>7549.31</v>
      </c>
      <c r="L73" s="171">
        <v>21</v>
      </c>
      <c r="M73" s="171">
        <f>G73*(1+L73/100)</f>
        <v>0</v>
      </c>
      <c r="N73" s="171">
        <v>0</v>
      </c>
      <c r="O73" s="171">
        <f>ROUND(E73*N73,2)</f>
        <v>0</v>
      </c>
      <c r="P73" s="171">
        <v>0</v>
      </c>
      <c r="Q73" s="171">
        <f>ROUND(E73*P73,2)</f>
        <v>0</v>
      </c>
      <c r="R73" s="171" t="s">
        <v>269</v>
      </c>
      <c r="S73" s="172" t="s">
        <v>147</v>
      </c>
      <c r="T73" s="156">
        <v>0.32</v>
      </c>
      <c r="U73" s="156">
        <f>ROUND(E73*T73,2)</f>
        <v>19.559999999999999</v>
      </c>
      <c r="V73" s="156"/>
      <c r="W73" s="156" t="s">
        <v>148</v>
      </c>
      <c r="X73" s="147"/>
      <c r="Y73" s="147"/>
      <c r="Z73" s="147"/>
      <c r="AA73" s="147"/>
      <c r="AB73" s="147"/>
      <c r="AC73" s="147"/>
      <c r="AD73" s="147"/>
      <c r="AE73" s="147"/>
      <c r="AF73" s="147" t="s">
        <v>149</v>
      </c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21" outlineLevel="1" x14ac:dyDescent="0.25">
      <c r="A74" s="154"/>
      <c r="B74" s="155"/>
      <c r="C74" s="253" t="s">
        <v>275</v>
      </c>
      <c r="D74" s="253"/>
      <c r="E74" s="253"/>
      <c r="F74" s="253"/>
      <c r="G74" s="253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47"/>
      <c r="Y74" s="147"/>
      <c r="Z74" s="147"/>
      <c r="AA74" s="147"/>
      <c r="AB74" s="147"/>
      <c r="AC74" s="147"/>
      <c r="AD74" s="147"/>
      <c r="AE74" s="147"/>
      <c r="AF74" s="147" t="s">
        <v>151</v>
      </c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73" t="str">
        <f>C74</f>
        <v>svislé nebo šikmé (odkloněné) , půdorysně přímé nebo zalomené, stěn základových desek ve volných nebo zapažených jámách, rýhách, šachtách, včetně případných vzpěr,</v>
      </c>
      <c r="BA74" s="147"/>
      <c r="BB74" s="147"/>
      <c r="BC74" s="147"/>
      <c r="BD74" s="147"/>
      <c r="BE74" s="147"/>
      <c r="BF74" s="147"/>
      <c r="BG74" s="147"/>
    </row>
    <row r="75" spans="1:59" outlineLevel="1" x14ac:dyDescent="0.25">
      <c r="A75" s="154"/>
      <c r="B75" s="155"/>
      <c r="C75" s="254" t="s">
        <v>279</v>
      </c>
      <c r="D75" s="254"/>
      <c r="E75" s="254"/>
      <c r="F75" s="254"/>
      <c r="G75" s="254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 t="s">
        <v>166</v>
      </c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outlineLevel="1" x14ac:dyDescent="0.25">
      <c r="A76" s="166">
        <v>19</v>
      </c>
      <c r="B76" s="167" t="s">
        <v>280</v>
      </c>
      <c r="C76" s="183" t="s">
        <v>281</v>
      </c>
      <c r="D76" s="168" t="s">
        <v>158</v>
      </c>
      <c r="E76" s="169">
        <v>885</v>
      </c>
      <c r="F76" s="170">
        <v>0</v>
      </c>
      <c r="G76" s="171">
        <f>ROUND(E76*F76,2)</f>
        <v>0</v>
      </c>
      <c r="H76" s="170">
        <v>0.39</v>
      </c>
      <c r="I76" s="171">
        <f>ROUND(E76*H76,2)</f>
        <v>345.15</v>
      </c>
      <c r="J76" s="170">
        <v>13.81</v>
      </c>
      <c r="K76" s="171">
        <f>ROUND(E76*J76,2)</f>
        <v>12221.85</v>
      </c>
      <c r="L76" s="171">
        <v>21</v>
      </c>
      <c r="M76" s="171">
        <f>G76*(1+L76/100)</f>
        <v>0</v>
      </c>
      <c r="N76" s="171">
        <v>3.0000000000000001E-5</v>
      </c>
      <c r="O76" s="171">
        <f>ROUND(E76*N76,2)</f>
        <v>0.03</v>
      </c>
      <c r="P76" s="171">
        <v>0</v>
      </c>
      <c r="Q76" s="171">
        <f>ROUND(E76*P76,2)</f>
        <v>0</v>
      </c>
      <c r="R76" s="171" t="s">
        <v>282</v>
      </c>
      <c r="S76" s="172" t="s">
        <v>147</v>
      </c>
      <c r="T76" s="156">
        <v>3.1E-2</v>
      </c>
      <c r="U76" s="156">
        <f>ROUND(E76*T76,2)</f>
        <v>27.44</v>
      </c>
      <c r="V76" s="156"/>
      <c r="W76" s="156" t="s">
        <v>148</v>
      </c>
      <c r="X76" s="147"/>
      <c r="Y76" s="147"/>
      <c r="Z76" s="147"/>
      <c r="AA76" s="147"/>
      <c r="AB76" s="147"/>
      <c r="AC76" s="147"/>
      <c r="AD76" s="147"/>
      <c r="AE76" s="147"/>
      <c r="AF76" s="147" t="s">
        <v>149</v>
      </c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outlineLevel="1" x14ac:dyDescent="0.25">
      <c r="A77" s="154"/>
      <c r="B77" s="155"/>
      <c r="C77" s="184" t="s">
        <v>283</v>
      </c>
      <c r="D77" s="157"/>
      <c r="E77" s="158">
        <v>470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47"/>
      <c r="Y77" s="147"/>
      <c r="Z77" s="147"/>
      <c r="AA77" s="147"/>
      <c r="AB77" s="147"/>
      <c r="AC77" s="147"/>
      <c r="AD77" s="147"/>
      <c r="AE77" s="147"/>
      <c r="AF77" s="147" t="s">
        <v>153</v>
      </c>
      <c r="AG77" s="147">
        <v>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outlineLevel="1" x14ac:dyDescent="0.25">
      <c r="A78" s="154"/>
      <c r="B78" s="155"/>
      <c r="C78" s="184" t="s">
        <v>284</v>
      </c>
      <c r="D78" s="157"/>
      <c r="E78" s="158">
        <v>125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47"/>
      <c r="Y78" s="147"/>
      <c r="Z78" s="147"/>
      <c r="AA78" s="147"/>
      <c r="AB78" s="147"/>
      <c r="AC78" s="147"/>
      <c r="AD78" s="147"/>
      <c r="AE78" s="147"/>
      <c r="AF78" s="147" t="s">
        <v>153</v>
      </c>
      <c r="AG78" s="147">
        <v>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 x14ac:dyDescent="0.25">
      <c r="A79" s="154"/>
      <c r="B79" s="155"/>
      <c r="C79" s="184" t="s">
        <v>285</v>
      </c>
      <c r="D79" s="157"/>
      <c r="E79" s="158">
        <v>290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 t="s">
        <v>153</v>
      </c>
      <c r="AG79" s="147">
        <v>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outlineLevel="1" x14ac:dyDescent="0.25">
      <c r="A80" s="166">
        <v>20</v>
      </c>
      <c r="B80" s="167" t="s">
        <v>286</v>
      </c>
      <c r="C80" s="183" t="s">
        <v>287</v>
      </c>
      <c r="D80" s="168" t="s">
        <v>158</v>
      </c>
      <c r="E80" s="169">
        <v>2.952</v>
      </c>
      <c r="F80" s="170">
        <v>0</v>
      </c>
      <c r="G80" s="171">
        <f>ROUND(E80*F80,2)</f>
        <v>0</v>
      </c>
      <c r="H80" s="170">
        <v>5.43</v>
      </c>
      <c r="I80" s="171">
        <f>ROUND(E80*H80,2)</f>
        <v>16.03</v>
      </c>
      <c r="J80" s="170">
        <v>75.67</v>
      </c>
      <c r="K80" s="171">
        <f>ROUND(E80*J80,2)</f>
        <v>223.38</v>
      </c>
      <c r="L80" s="171">
        <v>21</v>
      </c>
      <c r="M80" s="171">
        <f>G80*(1+L80/100)</f>
        <v>0</v>
      </c>
      <c r="N80" s="171">
        <v>2.3000000000000001E-4</v>
      </c>
      <c r="O80" s="171">
        <f>ROUND(E80*N80,2)</f>
        <v>0</v>
      </c>
      <c r="P80" s="171">
        <v>0</v>
      </c>
      <c r="Q80" s="171">
        <f>ROUND(E80*P80,2)</f>
        <v>0</v>
      </c>
      <c r="R80" s="171" t="s">
        <v>288</v>
      </c>
      <c r="S80" s="172" t="s">
        <v>147</v>
      </c>
      <c r="T80" s="156">
        <v>0.161</v>
      </c>
      <c r="U80" s="156">
        <f>ROUND(E80*T80,2)</f>
        <v>0.48</v>
      </c>
      <c r="V80" s="156"/>
      <c r="W80" s="156" t="s">
        <v>148</v>
      </c>
      <c r="X80" s="147"/>
      <c r="Y80" s="147"/>
      <c r="Z80" s="147"/>
      <c r="AA80" s="147"/>
      <c r="AB80" s="147"/>
      <c r="AC80" s="147"/>
      <c r="AD80" s="147"/>
      <c r="AE80" s="147"/>
      <c r="AF80" s="147" t="s">
        <v>149</v>
      </c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5">
      <c r="A81" s="154"/>
      <c r="B81" s="155"/>
      <c r="C81" s="184" t="s">
        <v>289</v>
      </c>
      <c r="D81" s="157"/>
      <c r="E81" s="158">
        <v>2.952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 t="s">
        <v>153</v>
      </c>
      <c r="AG81" s="147">
        <v>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20.399999999999999" outlineLevel="1" x14ac:dyDescent="0.25">
      <c r="A82" s="166">
        <v>21</v>
      </c>
      <c r="B82" s="167" t="s">
        <v>290</v>
      </c>
      <c r="C82" s="183" t="s">
        <v>291</v>
      </c>
      <c r="D82" s="168" t="s">
        <v>158</v>
      </c>
      <c r="E82" s="169">
        <v>3.5424000000000002</v>
      </c>
      <c r="F82" s="170">
        <v>0</v>
      </c>
      <c r="G82" s="171">
        <f>ROUND(E82*F82,2)</f>
        <v>0</v>
      </c>
      <c r="H82" s="170">
        <v>45.5</v>
      </c>
      <c r="I82" s="171">
        <f>ROUND(E82*H82,2)</f>
        <v>161.18</v>
      </c>
      <c r="J82" s="170">
        <v>0</v>
      </c>
      <c r="K82" s="171">
        <f>ROUND(E82*J82,2)</f>
        <v>0</v>
      </c>
      <c r="L82" s="171">
        <v>21</v>
      </c>
      <c r="M82" s="171">
        <f>G82*(1+L82/100)</f>
        <v>0</v>
      </c>
      <c r="N82" s="171">
        <v>5.1000000000000004E-4</v>
      </c>
      <c r="O82" s="171">
        <f>ROUND(E82*N82,2)</f>
        <v>0</v>
      </c>
      <c r="P82" s="171">
        <v>0</v>
      </c>
      <c r="Q82" s="171">
        <f>ROUND(E82*P82,2)</f>
        <v>0</v>
      </c>
      <c r="R82" s="171" t="s">
        <v>169</v>
      </c>
      <c r="S82" s="172" t="s">
        <v>147</v>
      </c>
      <c r="T82" s="156">
        <v>0</v>
      </c>
      <c r="U82" s="156">
        <f>ROUND(E82*T82,2)</f>
        <v>0</v>
      </c>
      <c r="V82" s="156"/>
      <c r="W82" s="156" t="s">
        <v>170</v>
      </c>
      <c r="X82" s="147"/>
      <c r="Y82" s="147"/>
      <c r="Z82" s="147"/>
      <c r="AA82" s="147"/>
      <c r="AB82" s="147"/>
      <c r="AC82" s="147"/>
      <c r="AD82" s="147"/>
      <c r="AE82" s="147"/>
      <c r="AF82" s="147" t="s">
        <v>171</v>
      </c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5">
      <c r="A83" s="154"/>
      <c r="B83" s="155"/>
      <c r="C83" s="184" t="s">
        <v>292</v>
      </c>
      <c r="D83" s="157"/>
      <c r="E83" s="158">
        <v>3.5424000000000002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 t="s">
        <v>153</v>
      </c>
      <c r="AG83" s="147">
        <v>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20.399999999999999" outlineLevel="1" x14ac:dyDescent="0.25">
      <c r="A84" s="166">
        <v>22</v>
      </c>
      <c r="B84" s="167" t="s">
        <v>293</v>
      </c>
      <c r="C84" s="183" t="s">
        <v>294</v>
      </c>
      <c r="D84" s="168" t="s">
        <v>158</v>
      </c>
      <c r="E84" s="169">
        <v>973.5</v>
      </c>
      <c r="F84" s="170">
        <v>0</v>
      </c>
      <c r="G84" s="171">
        <f>ROUND(E84*F84,2)</f>
        <v>0</v>
      </c>
      <c r="H84" s="170">
        <v>37.6</v>
      </c>
      <c r="I84" s="171">
        <f>ROUND(E84*H84,2)</f>
        <v>36603.599999999999</v>
      </c>
      <c r="J84" s="170">
        <v>0</v>
      </c>
      <c r="K84" s="171">
        <f>ROUND(E84*J84,2)</f>
        <v>0</v>
      </c>
      <c r="L84" s="171">
        <v>21</v>
      </c>
      <c r="M84" s="171">
        <f>G84*(1+L84/100)</f>
        <v>0</v>
      </c>
      <c r="N84" s="171">
        <v>2.9999999999999997E-4</v>
      </c>
      <c r="O84" s="171">
        <f>ROUND(E84*N84,2)</f>
        <v>0.28999999999999998</v>
      </c>
      <c r="P84" s="171">
        <v>0</v>
      </c>
      <c r="Q84" s="171">
        <f>ROUND(E84*P84,2)</f>
        <v>0</v>
      </c>
      <c r="R84" s="171" t="s">
        <v>169</v>
      </c>
      <c r="S84" s="172" t="s">
        <v>147</v>
      </c>
      <c r="T84" s="156">
        <v>0</v>
      </c>
      <c r="U84" s="156">
        <f>ROUND(E84*T84,2)</f>
        <v>0</v>
      </c>
      <c r="V84" s="156"/>
      <c r="W84" s="156" t="s">
        <v>170</v>
      </c>
      <c r="X84" s="147"/>
      <c r="Y84" s="147"/>
      <c r="Z84" s="147"/>
      <c r="AA84" s="147"/>
      <c r="AB84" s="147"/>
      <c r="AC84" s="147"/>
      <c r="AD84" s="147"/>
      <c r="AE84" s="147"/>
      <c r="AF84" s="147" t="s">
        <v>171</v>
      </c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outlineLevel="1" x14ac:dyDescent="0.25">
      <c r="A85" s="154"/>
      <c r="B85" s="155"/>
      <c r="C85" s="184" t="s">
        <v>295</v>
      </c>
      <c r="D85" s="157"/>
      <c r="E85" s="158">
        <v>517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 t="s">
        <v>153</v>
      </c>
      <c r="AG85" s="147">
        <v>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outlineLevel="1" x14ac:dyDescent="0.25">
      <c r="A86" s="154"/>
      <c r="B86" s="155"/>
      <c r="C86" s="184" t="s">
        <v>296</v>
      </c>
      <c r="D86" s="157"/>
      <c r="E86" s="158">
        <v>137.5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47"/>
      <c r="Y86" s="147"/>
      <c r="Z86" s="147"/>
      <c r="AA86" s="147"/>
      <c r="AB86" s="147"/>
      <c r="AC86" s="147"/>
      <c r="AD86" s="147"/>
      <c r="AE86" s="147"/>
      <c r="AF86" s="147" t="s">
        <v>153</v>
      </c>
      <c r="AG86" s="147">
        <v>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5">
      <c r="A87" s="154"/>
      <c r="B87" s="155"/>
      <c r="C87" s="184" t="s">
        <v>297</v>
      </c>
      <c r="D87" s="157"/>
      <c r="E87" s="158">
        <v>319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 t="s">
        <v>153</v>
      </c>
      <c r="AG87" s="147">
        <v>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x14ac:dyDescent="0.25">
      <c r="A88" s="160" t="s">
        <v>141</v>
      </c>
      <c r="B88" s="161" t="s">
        <v>79</v>
      </c>
      <c r="C88" s="182" t="s">
        <v>80</v>
      </c>
      <c r="D88" s="162"/>
      <c r="E88" s="163"/>
      <c r="F88" s="164"/>
      <c r="G88" s="164">
        <f>SUMIF(AF89:AF105,"&lt;&gt;NOR",G89:G105)</f>
        <v>0</v>
      </c>
      <c r="H88" s="164"/>
      <c r="I88" s="164">
        <f>SUM(I89:I105)</f>
        <v>355026.48</v>
      </c>
      <c r="J88" s="164"/>
      <c r="K88" s="164">
        <f>SUM(K89:K105)</f>
        <v>164951.74</v>
      </c>
      <c r="L88" s="164"/>
      <c r="M88" s="164">
        <f>SUM(M89:M105)</f>
        <v>0</v>
      </c>
      <c r="N88" s="164"/>
      <c r="O88" s="164">
        <f>SUM(O89:O105)</f>
        <v>147.51</v>
      </c>
      <c r="P88" s="164"/>
      <c r="Q88" s="164">
        <f>SUM(Q89:Q105)</f>
        <v>0</v>
      </c>
      <c r="R88" s="164"/>
      <c r="S88" s="165"/>
      <c r="T88" s="159"/>
      <c r="U88" s="159">
        <f>SUM(U89:U105)</f>
        <v>336.79999999999995</v>
      </c>
      <c r="V88" s="159"/>
      <c r="W88" s="159"/>
      <c r="AF88" t="s">
        <v>142</v>
      </c>
    </row>
    <row r="89" spans="1:59" ht="20.399999999999999" outlineLevel="1" x14ac:dyDescent="0.25">
      <c r="A89" s="166">
        <v>23</v>
      </c>
      <c r="B89" s="167" t="s">
        <v>298</v>
      </c>
      <c r="C89" s="183" t="s">
        <v>299</v>
      </c>
      <c r="D89" s="168" t="s">
        <v>145</v>
      </c>
      <c r="E89" s="169">
        <v>51.629840000000002</v>
      </c>
      <c r="F89" s="170">
        <v>0</v>
      </c>
      <c r="G89" s="171">
        <f>ROUND(E89*F89,2)</f>
        <v>0</v>
      </c>
      <c r="H89" s="170">
        <v>2573.59</v>
      </c>
      <c r="I89" s="171">
        <f>ROUND(E89*H89,2)</f>
        <v>132874.04</v>
      </c>
      <c r="J89" s="170">
        <v>586.41</v>
      </c>
      <c r="K89" s="171">
        <f>ROUND(E89*J89,2)</f>
        <v>30276.25</v>
      </c>
      <c r="L89" s="171">
        <v>21</v>
      </c>
      <c r="M89" s="171">
        <f>G89*(1+L89/100)</f>
        <v>0</v>
      </c>
      <c r="N89" s="171">
        <v>2.5301300000000002</v>
      </c>
      <c r="O89" s="171">
        <f>ROUND(E89*N89,2)</f>
        <v>130.63</v>
      </c>
      <c r="P89" s="171">
        <v>0</v>
      </c>
      <c r="Q89" s="171">
        <f>ROUND(E89*P89,2)</f>
        <v>0</v>
      </c>
      <c r="R89" s="171" t="s">
        <v>269</v>
      </c>
      <c r="S89" s="172" t="s">
        <v>147</v>
      </c>
      <c r="T89" s="156">
        <v>1.212</v>
      </c>
      <c r="U89" s="156">
        <f>ROUND(E89*T89,2)</f>
        <v>62.58</v>
      </c>
      <c r="V89" s="156"/>
      <c r="W89" s="156" t="s">
        <v>148</v>
      </c>
      <c r="X89" s="147"/>
      <c r="Y89" s="147"/>
      <c r="Z89" s="147"/>
      <c r="AA89" s="147"/>
      <c r="AB89" s="147"/>
      <c r="AC89" s="147"/>
      <c r="AD89" s="147"/>
      <c r="AE89" s="147"/>
      <c r="AF89" s="147" t="s">
        <v>149</v>
      </c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21" outlineLevel="1" x14ac:dyDescent="0.25">
      <c r="A90" s="154"/>
      <c r="B90" s="155"/>
      <c r="C90" s="253" t="s">
        <v>300</v>
      </c>
      <c r="D90" s="253"/>
      <c r="E90" s="253"/>
      <c r="F90" s="253"/>
      <c r="G90" s="253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47"/>
      <c r="Y90" s="147"/>
      <c r="Z90" s="147"/>
      <c r="AA90" s="147"/>
      <c r="AB90" s="147"/>
      <c r="AC90" s="147"/>
      <c r="AD90" s="147"/>
      <c r="AE90" s="147"/>
      <c r="AF90" s="147" t="s">
        <v>151</v>
      </c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73" t="str">
        <f>C90</f>
        <v>nosných, výplňových, obkladových, půdních, štítových, poprsních apod. (bez výztuže), s pomocným lešením o výšce podlahy do 1900 mm a pro zatížení 1,5 kPa,</v>
      </c>
      <c r="BA90" s="147"/>
      <c r="BB90" s="147"/>
      <c r="BC90" s="147"/>
      <c r="BD90" s="147"/>
      <c r="BE90" s="147"/>
      <c r="BF90" s="147"/>
      <c r="BG90" s="147"/>
    </row>
    <row r="91" spans="1:59" ht="20.399999999999999" outlineLevel="1" x14ac:dyDescent="0.25">
      <c r="A91" s="154"/>
      <c r="B91" s="155"/>
      <c r="C91" s="184" t="s">
        <v>301</v>
      </c>
      <c r="D91" s="157"/>
      <c r="E91" s="158">
        <v>22.313839999999999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 t="s">
        <v>153</v>
      </c>
      <c r="AG91" s="147">
        <v>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5">
      <c r="A92" s="154"/>
      <c r="B92" s="155"/>
      <c r="C92" s="184" t="s">
        <v>302</v>
      </c>
      <c r="D92" s="157"/>
      <c r="E92" s="158">
        <v>15.069599999999999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47"/>
      <c r="Y92" s="147"/>
      <c r="Z92" s="147"/>
      <c r="AA92" s="147"/>
      <c r="AB92" s="147"/>
      <c r="AC92" s="147"/>
      <c r="AD92" s="147"/>
      <c r="AE92" s="147"/>
      <c r="AF92" s="147" t="s">
        <v>153</v>
      </c>
      <c r="AG92" s="147">
        <v>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outlineLevel="1" x14ac:dyDescent="0.25">
      <c r="A93" s="154"/>
      <c r="B93" s="155"/>
      <c r="C93" s="184" t="s">
        <v>303</v>
      </c>
      <c r="D93" s="157"/>
      <c r="E93" s="158">
        <v>14.2464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 t="s">
        <v>153</v>
      </c>
      <c r="AG93" s="147">
        <v>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outlineLevel="1" x14ac:dyDescent="0.25">
      <c r="A94" s="166">
        <v>24</v>
      </c>
      <c r="B94" s="167" t="s">
        <v>304</v>
      </c>
      <c r="C94" s="183" t="s">
        <v>305</v>
      </c>
      <c r="D94" s="168" t="s">
        <v>158</v>
      </c>
      <c r="E94" s="169">
        <v>168.9342</v>
      </c>
      <c r="F94" s="170">
        <v>0</v>
      </c>
      <c r="G94" s="171">
        <f>ROUND(E94*F94,2)</f>
        <v>0</v>
      </c>
      <c r="H94" s="170">
        <v>272.33</v>
      </c>
      <c r="I94" s="171">
        <f>ROUND(E94*H94,2)</f>
        <v>46005.85</v>
      </c>
      <c r="J94" s="170">
        <v>287.67</v>
      </c>
      <c r="K94" s="171">
        <f>ROUND(E94*J94,2)</f>
        <v>48597.3</v>
      </c>
      <c r="L94" s="171">
        <v>21</v>
      </c>
      <c r="M94" s="171">
        <f>G94*(1+L94/100)</f>
        <v>0</v>
      </c>
      <c r="N94" s="171">
        <v>6.0310000000000002E-2</v>
      </c>
      <c r="O94" s="171">
        <f>ROUND(E94*N94,2)</f>
        <v>10.19</v>
      </c>
      <c r="P94" s="171">
        <v>0</v>
      </c>
      <c r="Q94" s="171">
        <f>ROUND(E94*P94,2)</f>
        <v>0</v>
      </c>
      <c r="R94" s="171" t="s">
        <v>269</v>
      </c>
      <c r="S94" s="172" t="s">
        <v>306</v>
      </c>
      <c r="T94" s="156">
        <v>0.65</v>
      </c>
      <c r="U94" s="156">
        <f>ROUND(E94*T94,2)</f>
        <v>109.81</v>
      </c>
      <c r="V94" s="156"/>
      <c r="W94" s="156" t="s">
        <v>148</v>
      </c>
      <c r="X94" s="147"/>
      <c r="Y94" s="147"/>
      <c r="Z94" s="147"/>
      <c r="AA94" s="147"/>
      <c r="AB94" s="147"/>
      <c r="AC94" s="147"/>
      <c r="AD94" s="147"/>
      <c r="AE94" s="147"/>
      <c r="AF94" s="147" t="s">
        <v>149</v>
      </c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30.6" outlineLevel="1" x14ac:dyDescent="0.25">
      <c r="A95" s="154"/>
      <c r="B95" s="155"/>
      <c r="C95" s="253" t="s">
        <v>307</v>
      </c>
      <c r="D95" s="253"/>
      <c r="E95" s="253"/>
      <c r="F95" s="253"/>
      <c r="G95" s="253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 t="s">
        <v>151</v>
      </c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73" t="str">
        <f>C95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95" s="147"/>
      <c r="BB95" s="147"/>
      <c r="BC95" s="147"/>
      <c r="BD95" s="147"/>
      <c r="BE95" s="147"/>
      <c r="BF95" s="147"/>
      <c r="BG95" s="147"/>
    </row>
    <row r="96" spans="1:59" ht="30.6" outlineLevel="1" x14ac:dyDescent="0.25">
      <c r="A96" s="154"/>
      <c r="B96" s="155"/>
      <c r="C96" s="184" t="s">
        <v>308</v>
      </c>
      <c r="D96" s="157"/>
      <c r="E96" s="158">
        <v>84.922200000000004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47"/>
      <c r="Y96" s="147"/>
      <c r="Z96" s="147"/>
      <c r="AA96" s="147"/>
      <c r="AB96" s="147"/>
      <c r="AC96" s="147"/>
      <c r="AD96" s="147"/>
      <c r="AE96" s="147"/>
      <c r="AF96" s="147" t="s">
        <v>153</v>
      </c>
      <c r="AG96" s="147">
        <v>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outlineLevel="1" x14ac:dyDescent="0.25">
      <c r="A97" s="154"/>
      <c r="B97" s="155"/>
      <c r="C97" s="184" t="s">
        <v>309</v>
      </c>
      <c r="D97" s="157"/>
      <c r="E97" s="158">
        <v>77.28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47"/>
      <c r="Y97" s="147"/>
      <c r="Z97" s="147"/>
      <c r="AA97" s="147"/>
      <c r="AB97" s="147"/>
      <c r="AC97" s="147"/>
      <c r="AD97" s="147"/>
      <c r="AE97" s="147"/>
      <c r="AF97" s="147" t="s">
        <v>153</v>
      </c>
      <c r="AG97" s="147">
        <v>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outlineLevel="1" x14ac:dyDescent="0.25">
      <c r="A98" s="154"/>
      <c r="B98" s="155"/>
      <c r="C98" s="184" t="s">
        <v>310</v>
      </c>
      <c r="D98" s="157"/>
      <c r="E98" s="158">
        <v>6.7320000000000002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47"/>
      <c r="Y98" s="147"/>
      <c r="Z98" s="147"/>
      <c r="AA98" s="147"/>
      <c r="AB98" s="147"/>
      <c r="AC98" s="147"/>
      <c r="AD98" s="147"/>
      <c r="AE98" s="147"/>
      <c r="AF98" s="147" t="s">
        <v>153</v>
      </c>
      <c r="AG98" s="147">
        <v>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5">
      <c r="A99" s="166">
        <v>25</v>
      </c>
      <c r="B99" s="167" t="s">
        <v>311</v>
      </c>
      <c r="C99" s="183" t="s">
        <v>312</v>
      </c>
      <c r="D99" s="168" t="s">
        <v>158</v>
      </c>
      <c r="E99" s="169">
        <v>168.9342</v>
      </c>
      <c r="F99" s="170">
        <v>0</v>
      </c>
      <c r="G99" s="171">
        <f>ROUND(E99*F99,2)</f>
        <v>0</v>
      </c>
      <c r="H99" s="170">
        <v>0</v>
      </c>
      <c r="I99" s="171">
        <f>ROUND(E99*H99,2)</f>
        <v>0</v>
      </c>
      <c r="J99" s="170">
        <v>224</v>
      </c>
      <c r="K99" s="171">
        <f>ROUND(E99*J99,2)</f>
        <v>37841.26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 t="s">
        <v>269</v>
      </c>
      <c r="S99" s="172" t="s">
        <v>147</v>
      </c>
      <c r="T99" s="156">
        <v>0.35</v>
      </c>
      <c r="U99" s="156">
        <f>ROUND(E99*T99,2)</f>
        <v>59.13</v>
      </c>
      <c r="V99" s="156"/>
      <c r="W99" s="156" t="s">
        <v>148</v>
      </c>
      <c r="X99" s="147"/>
      <c r="Y99" s="147"/>
      <c r="Z99" s="147"/>
      <c r="AA99" s="147"/>
      <c r="AB99" s="147"/>
      <c r="AC99" s="147"/>
      <c r="AD99" s="147"/>
      <c r="AE99" s="147"/>
      <c r="AF99" s="147" t="s">
        <v>149</v>
      </c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30.6" outlineLevel="1" x14ac:dyDescent="0.25">
      <c r="A100" s="154"/>
      <c r="B100" s="155"/>
      <c r="C100" s="253" t="s">
        <v>307</v>
      </c>
      <c r="D100" s="253"/>
      <c r="E100" s="253"/>
      <c r="F100" s="253"/>
      <c r="G100" s="253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47"/>
      <c r="Y100" s="147"/>
      <c r="Z100" s="147"/>
      <c r="AA100" s="147"/>
      <c r="AB100" s="147"/>
      <c r="AC100" s="147"/>
      <c r="AD100" s="147"/>
      <c r="AE100" s="147"/>
      <c r="AF100" s="147" t="s">
        <v>151</v>
      </c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73" t="str">
        <f>C100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00" s="147"/>
      <c r="BB100" s="147"/>
      <c r="BC100" s="147"/>
      <c r="BD100" s="147"/>
      <c r="BE100" s="147"/>
      <c r="BF100" s="147"/>
      <c r="BG100" s="147"/>
    </row>
    <row r="101" spans="1:59" outlineLevel="1" x14ac:dyDescent="0.25">
      <c r="A101" s="166">
        <v>26</v>
      </c>
      <c r="B101" s="167" t="s">
        <v>313</v>
      </c>
      <c r="C101" s="183" t="s">
        <v>314</v>
      </c>
      <c r="D101" s="168" t="s">
        <v>315</v>
      </c>
      <c r="E101" s="169">
        <v>6</v>
      </c>
      <c r="F101" s="170">
        <v>0</v>
      </c>
      <c r="G101" s="171">
        <f>ROUND(E101*F101,2)</f>
        <v>0</v>
      </c>
      <c r="H101" s="170">
        <v>388.1</v>
      </c>
      <c r="I101" s="171">
        <f>ROUND(E101*H101,2)</f>
        <v>2328.6</v>
      </c>
      <c r="J101" s="170">
        <v>919.9</v>
      </c>
      <c r="K101" s="171">
        <f>ROUND(E101*J101,2)</f>
        <v>5519.4</v>
      </c>
      <c r="L101" s="171">
        <v>21</v>
      </c>
      <c r="M101" s="171">
        <f>G101*(1+L101/100)</f>
        <v>0</v>
      </c>
      <c r="N101" s="171">
        <v>2.3380000000000001E-2</v>
      </c>
      <c r="O101" s="171">
        <f>ROUND(E101*N101,2)</f>
        <v>0.14000000000000001</v>
      </c>
      <c r="P101" s="171">
        <v>0</v>
      </c>
      <c r="Q101" s="171">
        <f>ROUND(E101*P101,2)</f>
        <v>0</v>
      </c>
      <c r="R101" s="171" t="s">
        <v>269</v>
      </c>
      <c r="S101" s="172" t="s">
        <v>147</v>
      </c>
      <c r="T101" s="156">
        <v>1.82</v>
      </c>
      <c r="U101" s="156">
        <f>ROUND(E101*T101,2)</f>
        <v>10.92</v>
      </c>
      <c r="V101" s="156"/>
      <c r="W101" s="156" t="s">
        <v>148</v>
      </c>
      <c r="X101" s="147"/>
      <c r="Y101" s="147"/>
      <c r="Z101" s="147"/>
      <c r="AA101" s="147"/>
      <c r="AB101" s="147"/>
      <c r="AC101" s="147"/>
      <c r="AD101" s="147"/>
      <c r="AE101" s="147"/>
      <c r="AF101" s="147" t="s">
        <v>149</v>
      </c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30.6" outlineLevel="1" x14ac:dyDescent="0.25">
      <c r="A102" s="154"/>
      <c r="B102" s="155"/>
      <c r="C102" s="253" t="s">
        <v>307</v>
      </c>
      <c r="D102" s="253"/>
      <c r="E102" s="253"/>
      <c r="F102" s="253"/>
      <c r="G102" s="253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47"/>
      <c r="Y102" s="147"/>
      <c r="Z102" s="147"/>
      <c r="AA102" s="147"/>
      <c r="AB102" s="147"/>
      <c r="AC102" s="147"/>
      <c r="AD102" s="147"/>
      <c r="AE102" s="147"/>
      <c r="AF102" s="147" t="s">
        <v>151</v>
      </c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73" t="str">
        <f>C102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102" s="147"/>
      <c r="BB102" s="147"/>
      <c r="BC102" s="147"/>
      <c r="BD102" s="147"/>
      <c r="BE102" s="147"/>
      <c r="BF102" s="147"/>
      <c r="BG102" s="147"/>
    </row>
    <row r="103" spans="1:59" outlineLevel="1" x14ac:dyDescent="0.25">
      <c r="A103" s="166">
        <v>27</v>
      </c>
      <c r="B103" s="167" t="s">
        <v>316</v>
      </c>
      <c r="C103" s="183" t="s">
        <v>317</v>
      </c>
      <c r="D103" s="168" t="s">
        <v>265</v>
      </c>
      <c r="E103" s="169">
        <v>6.1955799999999996</v>
      </c>
      <c r="F103" s="170">
        <v>0</v>
      </c>
      <c r="G103" s="171">
        <f>ROUND(E103*F103,2)</f>
        <v>0</v>
      </c>
      <c r="H103" s="170">
        <v>28055.16</v>
      </c>
      <c r="I103" s="171">
        <f>ROUND(E103*H103,2)</f>
        <v>173817.99</v>
      </c>
      <c r="J103" s="170">
        <v>6894.84</v>
      </c>
      <c r="K103" s="171">
        <f>ROUND(E103*J103,2)</f>
        <v>42717.53</v>
      </c>
      <c r="L103" s="171">
        <v>21</v>
      </c>
      <c r="M103" s="171">
        <f>G103*(1+L103/100)</f>
        <v>0</v>
      </c>
      <c r="N103" s="171">
        <v>1.05758</v>
      </c>
      <c r="O103" s="171">
        <f>ROUND(E103*N103,2)</f>
        <v>6.55</v>
      </c>
      <c r="P103" s="171">
        <v>0</v>
      </c>
      <c r="Q103" s="171">
        <f>ROUND(E103*P103,2)</f>
        <v>0</v>
      </c>
      <c r="R103" s="171" t="s">
        <v>269</v>
      </c>
      <c r="S103" s="172" t="s">
        <v>147</v>
      </c>
      <c r="T103" s="156">
        <v>15.231</v>
      </c>
      <c r="U103" s="156">
        <f>ROUND(E103*T103,2)</f>
        <v>94.36</v>
      </c>
      <c r="V103" s="156"/>
      <c r="W103" s="156" t="s">
        <v>148</v>
      </c>
      <c r="X103" s="147"/>
      <c r="Y103" s="147"/>
      <c r="Z103" s="147"/>
      <c r="AA103" s="147"/>
      <c r="AB103" s="147"/>
      <c r="AC103" s="147"/>
      <c r="AD103" s="147"/>
      <c r="AE103" s="147"/>
      <c r="AF103" s="147" t="s">
        <v>149</v>
      </c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outlineLevel="1" x14ac:dyDescent="0.25">
      <c r="A104" s="154"/>
      <c r="B104" s="155"/>
      <c r="C104" s="253" t="s">
        <v>318</v>
      </c>
      <c r="D104" s="253"/>
      <c r="E104" s="253"/>
      <c r="F104" s="253"/>
      <c r="G104" s="253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47"/>
      <c r="Y104" s="147"/>
      <c r="Z104" s="147"/>
      <c r="AA104" s="147"/>
      <c r="AB104" s="147"/>
      <c r="AC104" s="147"/>
      <c r="AD104" s="147"/>
      <c r="AE104" s="147"/>
      <c r="AF104" s="147" t="s">
        <v>151</v>
      </c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outlineLevel="1" x14ac:dyDescent="0.25">
      <c r="A105" s="154"/>
      <c r="B105" s="155"/>
      <c r="C105" s="184" t="s">
        <v>319</v>
      </c>
      <c r="D105" s="157"/>
      <c r="E105" s="158">
        <v>6.1955799999999996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47"/>
      <c r="Y105" s="147"/>
      <c r="Z105" s="147"/>
      <c r="AA105" s="147"/>
      <c r="AB105" s="147"/>
      <c r="AC105" s="147"/>
      <c r="AD105" s="147"/>
      <c r="AE105" s="147"/>
      <c r="AF105" s="147" t="s">
        <v>153</v>
      </c>
      <c r="AG105" s="147">
        <v>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x14ac:dyDescent="0.25">
      <c r="A106" s="160" t="s">
        <v>141</v>
      </c>
      <c r="B106" s="161" t="s">
        <v>81</v>
      </c>
      <c r="C106" s="182" t="s">
        <v>82</v>
      </c>
      <c r="D106" s="162"/>
      <c r="E106" s="163"/>
      <c r="F106" s="164"/>
      <c r="G106" s="164">
        <f>SUMIF(AF107:AF152,"&lt;&gt;NOR",G107:G152)</f>
        <v>0</v>
      </c>
      <c r="H106" s="164"/>
      <c r="I106" s="164">
        <f>SUM(I107:I152)</f>
        <v>503579.26</v>
      </c>
      <c r="J106" s="164"/>
      <c r="K106" s="164">
        <f>SUM(K107:K152)</f>
        <v>290184.14</v>
      </c>
      <c r="L106" s="164"/>
      <c r="M106" s="164">
        <f>SUM(M107:M152)</f>
        <v>0</v>
      </c>
      <c r="N106" s="164"/>
      <c r="O106" s="164">
        <f>SUM(O107:O152)</f>
        <v>871.41000000000008</v>
      </c>
      <c r="P106" s="164"/>
      <c r="Q106" s="164">
        <f>SUM(Q107:Q152)</f>
        <v>957.6099999999999</v>
      </c>
      <c r="R106" s="164"/>
      <c r="S106" s="165"/>
      <c r="T106" s="159"/>
      <c r="U106" s="159">
        <f>SUM(U107:U152)</f>
        <v>316.59999999999997</v>
      </c>
      <c r="V106" s="159"/>
      <c r="W106" s="159"/>
      <c r="AF106" t="s">
        <v>142</v>
      </c>
    </row>
    <row r="107" spans="1:59" ht="20.399999999999999" outlineLevel="1" x14ac:dyDescent="0.25">
      <c r="A107" s="166">
        <v>28</v>
      </c>
      <c r="B107" s="167" t="s">
        <v>320</v>
      </c>
      <c r="C107" s="183" t="s">
        <v>321</v>
      </c>
      <c r="D107" s="168" t="s">
        <v>158</v>
      </c>
      <c r="E107" s="169">
        <v>120</v>
      </c>
      <c r="F107" s="170">
        <v>0</v>
      </c>
      <c r="G107" s="171">
        <f>ROUND(E107*F107,2)</f>
        <v>0</v>
      </c>
      <c r="H107" s="170">
        <v>0</v>
      </c>
      <c r="I107" s="171">
        <f>ROUND(E107*H107,2)</f>
        <v>0</v>
      </c>
      <c r="J107" s="170">
        <v>59.2</v>
      </c>
      <c r="K107" s="171">
        <f>ROUND(E107*J107,2)</f>
        <v>7104</v>
      </c>
      <c r="L107" s="171">
        <v>21</v>
      </c>
      <c r="M107" s="171">
        <f>G107*(1+L107/100)</f>
        <v>0</v>
      </c>
      <c r="N107" s="171">
        <v>0</v>
      </c>
      <c r="O107" s="171">
        <f>ROUND(E107*N107,2)</f>
        <v>0</v>
      </c>
      <c r="P107" s="171">
        <v>0.13800000000000001</v>
      </c>
      <c r="Q107" s="171">
        <f>ROUND(E107*P107,2)</f>
        <v>16.559999999999999</v>
      </c>
      <c r="R107" s="171" t="s">
        <v>322</v>
      </c>
      <c r="S107" s="172" t="s">
        <v>147</v>
      </c>
      <c r="T107" s="156">
        <v>0.16</v>
      </c>
      <c r="U107" s="156">
        <f>ROUND(E107*T107,2)</f>
        <v>19.2</v>
      </c>
      <c r="V107" s="156"/>
      <c r="W107" s="156" t="s">
        <v>148</v>
      </c>
      <c r="X107" s="147"/>
      <c r="Y107" s="147"/>
      <c r="Z107" s="147"/>
      <c r="AA107" s="147"/>
      <c r="AB107" s="147"/>
      <c r="AC107" s="147"/>
      <c r="AD107" s="147"/>
      <c r="AE107" s="147"/>
      <c r="AF107" s="147" t="s">
        <v>149</v>
      </c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outlineLevel="1" x14ac:dyDescent="0.25">
      <c r="A108" s="154"/>
      <c r="B108" s="155"/>
      <c r="C108" s="253" t="s">
        <v>323</v>
      </c>
      <c r="D108" s="253"/>
      <c r="E108" s="253"/>
      <c r="F108" s="253"/>
      <c r="G108" s="253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47"/>
      <c r="Y108" s="147"/>
      <c r="Z108" s="147"/>
      <c r="AA108" s="147"/>
      <c r="AB108" s="147"/>
      <c r="AC108" s="147"/>
      <c r="AD108" s="147"/>
      <c r="AE108" s="147"/>
      <c r="AF108" s="147" t="s">
        <v>151</v>
      </c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20.399999999999999" outlineLevel="1" x14ac:dyDescent="0.25">
      <c r="A109" s="174">
        <v>29</v>
      </c>
      <c r="B109" s="175" t="s">
        <v>324</v>
      </c>
      <c r="C109" s="185" t="s">
        <v>325</v>
      </c>
      <c r="D109" s="176" t="s">
        <v>158</v>
      </c>
      <c r="E109" s="177">
        <v>120</v>
      </c>
      <c r="F109" s="178">
        <v>0</v>
      </c>
      <c r="G109" s="179">
        <f>ROUND(E109*F109,2)</f>
        <v>0</v>
      </c>
      <c r="H109" s="178">
        <v>0</v>
      </c>
      <c r="I109" s="179">
        <f>ROUND(E109*H109,2)</f>
        <v>0</v>
      </c>
      <c r="J109" s="178">
        <v>14.9</v>
      </c>
      <c r="K109" s="179">
        <f>ROUND(E109*J109,2)</f>
        <v>1788</v>
      </c>
      <c r="L109" s="179">
        <v>21</v>
      </c>
      <c r="M109" s="179">
        <f>G109*(1+L109/100)</f>
        <v>0</v>
      </c>
      <c r="N109" s="179">
        <v>0</v>
      </c>
      <c r="O109" s="179">
        <f>ROUND(E109*N109,2)</f>
        <v>0</v>
      </c>
      <c r="P109" s="179">
        <v>0.11</v>
      </c>
      <c r="Q109" s="179">
        <f>ROUND(E109*P109,2)</f>
        <v>13.2</v>
      </c>
      <c r="R109" s="179" t="s">
        <v>322</v>
      </c>
      <c r="S109" s="180" t="s">
        <v>147</v>
      </c>
      <c r="T109" s="156">
        <v>2.5899999999999999E-2</v>
      </c>
      <c r="U109" s="156">
        <f>ROUND(E109*T109,2)</f>
        <v>3.11</v>
      </c>
      <c r="V109" s="156"/>
      <c r="W109" s="156" t="s">
        <v>148</v>
      </c>
      <c r="X109" s="147"/>
      <c r="Y109" s="147"/>
      <c r="Z109" s="147"/>
      <c r="AA109" s="147"/>
      <c r="AB109" s="147"/>
      <c r="AC109" s="147"/>
      <c r="AD109" s="147"/>
      <c r="AE109" s="147"/>
      <c r="AF109" s="147" t="s">
        <v>149</v>
      </c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20.399999999999999" outlineLevel="1" x14ac:dyDescent="0.25">
      <c r="A110" s="166">
        <v>30</v>
      </c>
      <c r="B110" s="167" t="s">
        <v>326</v>
      </c>
      <c r="C110" s="183" t="s">
        <v>327</v>
      </c>
      <c r="D110" s="168" t="s">
        <v>158</v>
      </c>
      <c r="E110" s="169">
        <v>1220</v>
      </c>
      <c r="F110" s="170">
        <v>0</v>
      </c>
      <c r="G110" s="171">
        <f>ROUND(E110*F110,2)</f>
        <v>0</v>
      </c>
      <c r="H110" s="170">
        <v>0</v>
      </c>
      <c r="I110" s="171">
        <f>ROUND(E110*H110,2)</f>
        <v>0</v>
      </c>
      <c r="J110" s="170">
        <v>35.1</v>
      </c>
      <c r="K110" s="171">
        <f>ROUND(E110*J110,2)</f>
        <v>42822</v>
      </c>
      <c r="L110" s="171">
        <v>21</v>
      </c>
      <c r="M110" s="171">
        <f>G110*(1+L110/100)</f>
        <v>0</v>
      </c>
      <c r="N110" s="171">
        <v>0</v>
      </c>
      <c r="O110" s="171">
        <f>ROUND(E110*N110,2)</f>
        <v>0</v>
      </c>
      <c r="P110" s="171">
        <v>0.33</v>
      </c>
      <c r="Q110" s="171">
        <f>ROUND(E110*P110,2)</f>
        <v>402.6</v>
      </c>
      <c r="R110" s="171" t="s">
        <v>322</v>
      </c>
      <c r="S110" s="172" t="s">
        <v>147</v>
      </c>
      <c r="T110" s="156">
        <v>0.06</v>
      </c>
      <c r="U110" s="156">
        <f>ROUND(E110*T110,2)</f>
        <v>73.2</v>
      </c>
      <c r="V110" s="156"/>
      <c r="W110" s="156" t="s">
        <v>148</v>
      </c>
      <c r="X110" s="147"/>
      <c r="Y110" s="147"/>
      <c r="Z110" s="147"/>
      <c r="AA110" s="147"/>
      <c r="AB110" s="147"/>
      <c r="AC110" s="147"/>
      <c r="AD110" s="147"/>
      <c r="AE110" s="147"/>
      <c r="AF110" s="147" t="s">
        <v>149</v>
      </c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outlineLevel="1" x14ac:dyDescent="0.25">
      <c r="A111" s="154"/>
      <c r="B111" s="155"/>
      <c r="C111" s="184" t="s">
        <v>328</v>
      </c>
      <c r="D111" s="157"/>
      <c r="E111" s="158">
        <v>1220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47"/>
      <c r="Y111" s="147"/>
      <c r="Z111" s="147"/>
      <c r="AA111" s="147"/>
      <c r="AB111" s="147"/>
      <c r="AC111" s="147"/>
      <c r="AD111" s="147"/>
      <c r="AE111" s="147"/>
      <c r="AF111" s="147" t="s">
        <v>153</v>
      </c>
      <c r="AG111" s="147">
        <v>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outlineLevel="1" x14ac:dyDescent="0.25">
      <c r="A112" s="174">
        <v>31</v>
      </c>
      <c r="B112" s="175" t="s">
        <v>329</v>
      </c>
      <c r="C112" s="185" t="s">
        <v>330</v>
      </c>
      <c r="D112" s="176" t="s">
        <v>158</v>
      </c>
      <c r="E112" s="177">
        <v>1100</v>
      </c>
      <c r="F112" s="178">
        <v>0</v>
      </c>
      <c r="G112" s="179">
        <f>ROUND(E112*F112,2)</f>
        <v>0</v>
      </c>
      <c r="H112" s="178">
        <v>0</v>
      </c>
      <c r="I112" s="179">
        <f>ROUND(E112*H112,2)</f>
        <v>0</v>
      </c>
      <c r="J112" s="178">
        <v>34.700000000000003</v>
      </c>
      <c r="K112" s="179">
        <f>ROUND(E112*J112,2)</f>
        <v>38170</v>
      </c>
      <c r="L112" s="179">
        <v>21</v>
      </c>
      <c r="M112" s="179">
        <f>G112*(1+L112/100)</f>
        <v>0</v>
      </c>
      <c r="N112" s="179">
        <v>0</v>
      </c>
      <c r="O112" s="179">
        <f>ROUND(E112*N112,2)</f>
        <v>0</v>
      </c>
      <c r="P112" s="179">
        <v>0.154</v>
      </c>
      <c r="Q112" s="179">
        <f>ROUND(E112*P112,2)</f>
        <v>169.4</v>
      </c>
      <c r="R112" s="179" t="s">
        <v>322</v>
      </c>
      <c r="S112" s="180" t="s">
        <v>147</v>
      </c>
      <c r="T112" s="156">
        <v>5.3800000000000001E-2</v>
      </c>
      <c r="U112" s="156">
        <f>ROUND(E112*T112,2)</f>
        <v>59.18</v>
      </c>
      <c r="V112" s="156"/>
      <c r="W112" s="156" t="s">
        <v>148</v>
      </c>
      <c r="X112" s="147"/>
      <c r="Y112" s="147"/>
      <c r="Z112" s="147"/>
      <c r="AA112" s="147"/>
      <c r="AB112" s="147"/>
      <c r="AC112" s="147"/>
      <c r="AD112" s="147"/>
      <c r="AE112" s="147"/>
      <c r="AF112" s="147" t="s">
        <v>149</v>
      </c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20.399999999999999" outlineLevel="1" x14ac:dyDescent="0.25">
      <c r="A113" s="174">
        <v>32</v>
      </c>
      <c r="B113" s="175" t="s">
        <v>331</v>
      </c>
      <c r="C113" s="185" t="s">
        <v>332</v>
      </c>
      <c r="D113" s="176" t="s">
        <v>158</v>
      </c>
      <c r="E113" s="177">
        <v>1100</v>
      </c>
      <c r="F113" s="178">
        <v>0</v>
      </c>
      <c r="G113" s="179">
        <f>ROUND(E113*F113,2)</f>
        <v>0</v>
      </c>
      <c r="H113" s="178">
        <v>0</v>
      </c>
      <c r="I113" s="179">
        <f>ROUND(E113*H113,2)</f>
        <v>0</v>
      </c>
      <c r="J113" s="178">
        <v>89.4</v>
      </c>
      <c r="K113" s="179">
        <f>ROUND(E113*J113,2)</f>
        <v>98340</v>
      </c>
      <c r="L113" s="179">
        <v>21</v>
      </c>
      <c r="M113" s="179">
        <f>G113*(1+L113/100)</f>
        <v>0</v>
      </c>
      <c r="N113" s="179">
        <v>0</v>
      </c>
      <c r="O113" s="179">
        <f>ROUND(E113*N113,2)</f>
        <v>0</v>
      </c>
      <c r="P113" s="179">
        <v>0.28799999999999998</v>
      </c>
      <c r="Q113" s="179">
        <f>ROUND(E113*P113,2)</f>
        <v>316.8</v>
      </c>
      <c r="R113" s="179" t="s">
        <v>322</v>
      </c>
      <c r="S113" s="180" t="s">
        <v>147</v>
      </c>
      <c r="T113" s="156">
        <v>3.5999999999999997E-2</v>
      </c>
      <c r="U113" s="156">
        <f>ROUND(E113*T113,2)</f>
        <v>39.6</v>
      </c>
      <c r="V113" s="156"/>
      <c r="W113" s="156" t="s">
        <v>148</v>
      </c>
      <c r="X113" s="147"/>
      <c r="Y113" s="147"/>
      <c r="Z113" s="147"/>
      <c r="AA113" s="147"/>
      <c r="AB113" s="147"/>
      <c r="AC113" s="147"/>
      <c r="AD113" s="147"/>
      <c r="AE113" s="147"/>
      <c r="AF113" s="147" t="s">
        <v>149</v>
      </c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outlineLevel="1" x14ac:dyDescent="0.25">
      <c r="A114" s="166">
        <v>33</v>
      </c>
      <c r="B114" s="167" t="s">
        <v>333</v>
      </c>
      <c r="C114" s="183" t="s">
        <v>334</v>
      </c>
      <c r="D114" s="168" t="s">
        <v>335</v>
      </c>
      <c r="E114" s="169">
        <v>177.52</v>
      </c>
      <c r="F114" s="170">
        <v>0</v>
      </c>
      <c r="G114" s="171">
        <f>ROUND(E114*F114,2)</f>
        <v>0</v>
      </c>
      <c r="H114" s="170">
        <v>0</v>
      </c>
      <c r="I114" s="171">
        <f>ROUND(E114*H114,2)</f>
        <v>0</v>
      </c>
      <c r="J114" s="170">
        <v>112</v>
      </c>
      <c r="K114" s="171">
        <f>ROUND(E114*J114,2)</f>
        <v>19882.240000000002</v>
      </c>
      <c r="L114" s="171">
        <v>21</v>
      </c>
      <c r="M114" s="171">
        <f>G114*(1+L114/100)</f>
        <v>0</v>
      </c>
      <c r="N114" s="171">
        <v>0</v>
      </c>
      <c r="O114" s="171">
        <f>ROUND(E114*N114,2)</f>
        <v>0</v>
      </c>
      <c r="P114" s="171">
        <v>0.22</v>
      </c>
      <c r="Q114" s="171">
        <f>ROUND(E114*P114,2)</f>
        <v>39.049999999999997</v>
      </c>
      <c r="R114" s="171" t="s">
        <v>322</v>
      </c>
      <c r="S114" s="172" t="s">
        <v>147</v>
      </c>
      <c r="T114" s="156">
        <v>0.14299999999999999</v>
      </c>
      <c r="U114" s="156">
        <f>ROUND(E114*T114,2)</f>
        <v>25.39</v>
      </c>
      <c r="V114" s="156"/>
      <c r="W114" s="156" t="s">
        <v>148</v>
      </c>
      <c r="X114" s="147"/>
      <c r="Y114" s="147"/>
      <c r="Z114" s="147"/>
      <c r="AA114" s="147"/>
      <c r="AB114" s="147"/>
      <c r="AC114" s="147"/>
      <c r="AD114" s="147"/>
      <c r="AE114" s="147"/>
      <c r="AF114" s="147" t="s">
        <v>149</v>
      </c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20.399999999999999" outlineLevel="1" x14ac:dyDescent="0.25">
      <c r="A115" s="154"/>
      <c r="B115" s="155"/>
      <c r="C115" s="253" t="s">
        <v>336</v>
      </c>
      <c r="D115" s="253"/>
      <c r="E115" s="253"/>
      <c r="F115" s="253"/>
      <c r="G115" s="253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47"/>
      <c r="Y115" s="147"/>
      <c r="Z115" s="147"/>
      <c r="AA115" s="147"/>
      <c r="AB115" s="147"/>
      <c r="AC115" s="147"/>
      <c r="AD115" s="147"/>
      <c r="AE115" s="147"/>
      <c r="AF115" s="147" t="s">
        <v>151</v>
      </c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73" t="str">
        <f>C115</f>
        <v>s vybouráním lože, s přemístěním hmot na skládku na vzdálenost do 3 m nebo naložením na dopravní prostředek</v>
      </c>
      <c r="BA115" s="147"/>
      <c r="BB115" s="147"/>
      <c r="BC115" s="147"/>
      <c r="BD115" s="147"/>
      <c r="BE115" s="147"/>
      <c r="BF115" s="147"/>
      <c r="BG115" s="147"/>
    </row>
    <row r="116" spans="1:59" outlineLevel="1" x14ac:dyDescent="0.25">
      <c r="A116" s="154"/>
      <c r="B116" s="155"/>
      <c r="C116" s="184" t="s">
        <v>337</v>
      </c>
      <c r="D116" s="157"/>
      <c r="E116" s="158">
        <v>177.52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47"/>
      <c r="Y116" s="147"/>
      <c r="Z116" s="147"/>
      <c r="AA116" s="147"/>
      <c r="AB116" s="147"/>
      <c r="AC116" s="147"/>
      <c r="AD116" s="147"/>
      <c r="AE116" s="147"/>
      <c r="AF116" s="147" t="s">
        <v>153</v>
      </c>
      <c r="AG116" s="147">
        <v>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outlineLevel="1" x14ac:dyDescent="0.25">
      <c r="A117" s="166">
        <v>34</v>
      </c>
      <c r="B117" s="167" t="s">
        <v>338</v>
      </c>
      <c r="C117" s="183" t="s">
        <v>339</v>
      </c>
      <c r="D117" s="168" t="s">
        <v>158</v>
      </c>
      <c r="E117" s="169">
        <v>858</v>
      </c>
      <c r="F117" s="170">
        <v>0</v>
      </c>
      <c r="G117" s="171">
        <f>ROUND(E117*F117,2)</f>
        <v>0</v>
      </c>
      <c r="H117" s="170">
        <v>31.3</v>
      </c>
      <c r="I117" s="171">
        <f>ROUND(E117*H117,2)</f>
        <v>26855.4</v>
      </c>
      <c r="J117" s="170">
        <v>12.6</v>
      </c>
      <c r="K117" s="171">
        <f>ROUND(E117*J117,2)</f>
        <v>10810.8</v>
      </c>
      <c r="L117" s="171">
        <v>21</v>
      </c>
      <c r="M117" s="171">
        <f>G117*(1+L117/100)</f>
        <v>0</v>
      </c>
      <c r="N117" s="171">
        <v>0.1012</v>
      </c>
      <c r="O117" s="171">
        <f>ROUND(E117*N117,2)</f>
        <v>86.83</v>
      </c>
      <c r="P117" s="171">
        <v>0</v>
      </c>
      <c r="Q117" s="171">
        <f>ROUND(E117*P117,2)</f>
        <v>0</v>
      </c>
      <c r="R117" s="171" t="s">
        <v>322</v>
      </c>
      <c r="S117" s="172" t="s">
        <v>147</v>
      </c>
      <c r="T117" s="156">
        <v>2.4E-2</v>
      </c>
      <c r="U117" s="156">
        <f>ROUND(E117*T117,2)</f>
        <v>20.59</v>
      </c>
      <c r="V117" s="156"/>
      <c r="W117" s="156" t="s">
        <v>148</v>
      </c>
      <c r="X117" s="147"/>
      <c r="Y117" s="147"/>
      <c r="Z117" s="147"/>
      <c r="AA117" s="147"/>
      <c r="AB117" s="147"/>
      <c r="AC117" s="147"/>
      <c r="AD117" s="147"/>
      <c r="AE117" s="147"/>
      <c r="AF117" s="147" t="s">
        <v>149</v>
      </c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outlineLevel="1" x14ac:dyDescent="0.25">
      <c r="A118" s="154"/>
      <c r="B118" s="155"/>
      <c r="C118" s="253" t="s">
        <v>340</v>
      </c>
      <c r="D118" s="253"/>
      <c r="E118" s="253"/>
      <c r="F118" s="253"/>
      <c r="G118" s="253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47"/>
      <c r="Y118" s="147"/>
      <c r="Z118" s="147"/>
      <c r="AA118" s="147"/>
      <c r="AB118" s="147"/>
      <c r="AC118" s="147"/>
      <c r="AD118" s="147"/>
      <c r="AE118" s="147"/>
      <c r="AF118" s="147" t="s">
        <v>151</v>
      </c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outlineLevel="1" x14ac:dyDescent="0.25">
      <c r="A119" s="154"/>
      <c r="B119" s="155"/>
      <c r="C119" s="184" t="s">
        <v>341</v>
      </c>
      <c r="D119" s="157"/>
      <c r="E119" s="158">
        <v>203.5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47"/>
      <c r="Y119" s="147"/>
      <c r="Z119" s="147"/>
      <c r="AA119" s="147"/>
      <c r="AB119" s="147"/>
      <c r="AC119" s="147"/>
      <c r="AD119" s="147"/>
      <c r="AE119" s="147"/>
      <c r="AF119" s="147" t="s">
        <v>153</v>
      </c>
      <c r="AG119" s="147">
        <v>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outlineLevel="1" x14ac:dyDescent="0.25">
      <c r="A120" s="154"/>
      <c r="B120" s="155"/>
      <c r="C120" s="184" t="s">
        <v>295</v>
      </c>
      <c r="D120" s="157"/>
      <c r="E120" s="158">
        <v>517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47"/>
      <c r="Y120" s="147"/>
      <c r="Z120" s="147"/>
      <c r="AA120" s="147"/>
      <c r="AB120" s="147"/>
      <c r="AC120" s="147"/>
      <c r="AD120" s="147"/>
      <c r="AE120" s="147"/>
      <c r="AF120" s="147" t="s">
        <v>153</v>
      </c>
      <c r="AG120" s="147">
        <v>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outlineLevel="1" x14ac:dyDescent="0.25">
      <c r="A121" s="154"/>
      <c r="B121" s="155"/>
      <c r="C121" s="184" t="s">
        <v>296</v>
      </c>
      <c r="D121" s="157"/>
      <c r="E121" s="158">
        <v>137.5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47"/>
      <c r="Y121" s="147"/>
      <c r="Z121" s="147"/>
      <c r="AA121" s="147"/>
      <c r="AB121" s="147"/>
      <c r="AC121" s="147"/>
      <c r="AD121" s="147"/>
      <c r="AE121" s="147"/>
      <c r="AF121" s="147" t="s">
        <v>153</v>
      </c>
      <c r="AG121" s="147">
        <v>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outlineLevel="1" x14ac:dyDescent="0.25">
      <c r="A122" s="166">
        <v>35</v>
      </c>
      <c r="B122" s="167" t="s">
        <v>342</v>
      </c>
      <c r="C122" s="183" t="s">
        <v>343</v>
      </c>
      <c r="D122" s="168" t="s">
        <v>158</v>
      </c>
      <c r="E122" s="169">
        <v>8.2799999999999994</v>
      </c>
      <c r="F122" s="170">
        <v>0</v>
      </c>
      <c r="G122" s="171">
        <f>ROUND(E122*F122,2)</f>
        <v>0</v>
      </c>
      <c r="H122" s="170">
        <v>94.13</v>
      </c>
      <c r="I122" s="171">
        <f>ROUND(E122*H122,2)</f>
        <v>779.4</v>
      </c>
      <c r="J122" s="170">
        <v>17.37</v>
      </c>
      <c r="K122" s="171">
        <f>ROUND(E122*J122,2)</f>
        <v>143.82</v>
      </c>
      <c r="L122" s="171">
        <v>21</v>
      </c>
      <c r="M122" s="171">
        <f>G122*(1+L122/100)</f>
        <v>0</v>
      </c>
      <c r="N122" s="171">
        <v>0.30360999999999999</v>
      </c>
      <c r="O122" s="171">
        <f>ROUND(E122*N122,2)</f>
        <v>2.5099999999999998</v>
      </c>
      <c r="P122" s="171">
        <v>0</v>
      </c>
      <c r="Q122" s="171">
        <f>ROUND(E122*P122,2)</f>
        <v>0</v>
      </c>
      <c r="R122" s="171" t="s">
        <v>322</v>
      </c>
      <c r="S122" s="172" t="s">
        <v>147</v>
      </c>
      <c r="T122" s="156">
        <v>1.6E-2</v>
      </c>
      <c r="U122" s="156">
        <f>ROUND(E122*T122,2)</f>
        <v>0.13</v>
      </c>
      <c r="V122" s="156"/>
      <c r="W122" s="156" t="s">
        <v>148</v>
      </c>
      <c r="X122" s="147"/>
      <c r="Y122" s="147"/>
      <c r="Z122" s="147"/>
      <c r="AA122" s="147"/>
      <c r="AB122" s="147"/>
      <c r="AC122" s="147"/>
      <c r="AD122" s="147"/>
      <c r="AE122" s="147"/>
      <c r="AF122" s="147" t="s">
        <v>149</v>
      </c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outlineLevel="1" x14ac:dyDescent="0.25">
      <c r="A123" s="154"/>
      <c r="B123" s="155"/>
      <c r="C123" s="253" t="s">
        <v>340</v>
      </c>
      <c r="D123" s="253"/>
      <c r="E123" s="253"/>
      <c r="F123" s="253"/>
      <c r="G123" s="253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47"/>
      <c r="Y123" s="147"/>
      <c r="Z123" s="147"/>
      <c r="AA123" s="147"/>
      <c r="AB123" s="147"/>
      <c r="AC123" s="147"/>
      <c r="AD123" s="147"/>
      <c r="AE123" s="147"/>
      <c r="AF123" s="147" t="s">
        <v>151</v>
      </c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outlineLevel="1" x14ac:dyDescent="0.25">
      <c r="A124" s="154"/>
      <c r="B124" s="155"/>
      <c r="C124" s="184" t="s">
        <v>344</v>
      </c>
      <c r="D124" s="157"/>
      <c r="E124" s="158">
        <v>8.2799999999999994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47"/>
      <c r="Y124" s="147"/>
      <c r="Z124" s="147"/>
      <c r="AA124" s="147"/>
      <c r="AB124" s="147"/>
      <c r="AC124" s="147"/>
      <c r="AD124" s="147"/>
      <c r="AE124" s="147"/>
      <c r="AF124" s="147" t="s">
        <v>153</v>
      </c>
      <c r="AG124" s="147">
        <v>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outlineLevel="1" x14ac:dyDescent="0.25">
      <c r="A125" s="166">
        <v>36</v>
      </c>
      <c r="B125" s="167" t="s">
        <v>345</v>
      </c>
      <c r="C125" s="183" t="s">
        <v>346</v>
      </c>
      <c r="D125" s="168" t="s">
        <v>158</v>
      </c>
      <c r="E125" s="169">
        <v>290</v>
      </c>
      <c r="F125" s="170">
        <v>0</v>
      </c>
      <c r="G125" s="171">
        <f>ROUND(E125*F125,2)</f>
        <v>0</v>
      </c>
      <c r="H125" s="170">
        <v>2.46</v>
      </c>
      <c r="I125" s="171">
        <f>ROUND(E125*H125,2)</f>
        <v>713.4</v>
      </c>
      <c r="J125" s="170">
        <v>29.84</v>
      </c>
      <c r="K125" s="171">
        <f>ROUND(E125*J125,2)</f>
        <v>8653.6</v>
      </c>
      <c r="L125" s="171">
        <v>21</v>
      </c>
      <c r="M125" s="171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1" t="s">
        <v>322</v>
      </c>
      <c r="S125" s="172" t="s">
        <v>147</v>
      </c>
      <c r="T125" s="156">
        <v>2.3E-2</v>
      </c>
      <c r="U125" s="156">
        <f>ROUND(E125*T125,2)</f>
        <v>6.67</v>
      </c>
      <c r="V125" s="156"/>
      <c r="W125" s="156" t="s">
        <v>148</v>
      </c>
      <c r="X125" s="147"/>
      <c r="Y125" s="147"/>
      <c r="Z125" s="147"/>
      <c r="AA125" s="147"/>
      <c r="AB125" s="147"/>
      <c r="AC125" s="147"/>
      <c r="AD125" s="147"/>
      <c r="AE125" s="147"/>
      <c r="AF125" s="147" t="s">
        <v>149</v>
      </c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outlineLevel="1" x14ac:dyDescent="0.25">
      <c r="A126" s="154"/>
      <c r="B126" s="155"/>
      <c r="C126" s="253" t="s">
        <v>340</v>
      </c>
      <c r="D126" s="253"/>
      <c r="E126" s="253"/>
      <c r="F126" s="253"/>
      <c r="G126" s="253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47"/>
      <c r="Y126" s="147"/>
      <c r="Z126" s="147"/>
      <c r="AA126" s="147"/>
      <c r="AB126" s="147"/>
      <c r="AC126" s="147"/>
      <c r="AD126" s="147"/>
      <c r="AE126" s="147"/>
      <c r="AF126" s="147" t="s">
        <v>151</v>
      </c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outlineLevel="1" x14ac:dyDescent="0.25">
      <c r="A127" s="154"/>
      <c r="B127" s="155"/>
      <c r="C127" s="184" t="s">
        <v>285</v>
      </c>
      <c r="D127" s="157"/>
      <c r="E127" s="158">
        <v>290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47"/>
      <c r="Y127" s="147"/>
      <c r="Z127" s="147"/>
      <c r="AA127" s="147"/>
      <c r="AB127" s="147"/>
      <c r="AC127" s="147"/>
      <c r="AD127" s="147"/>
      <c r="AE127" s="147"/>
      <c r="AF127" s="147" t="s">
        <v>153</v>
      </c>
      <c r="AG127" s="147">
        <v>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20.399999999999999" outlineLevel="1" x14ac:dyDescent="0.25">
      <c r="A128" s="166">
        <v>37</v>
      </c>
      <c r="B128" s="167" t="s">
        <v>347</v>
      </c>
      <c r="C128" s="183" t="s">
        <v>348</v>
      </c>
      <c r="D128" s="168" t="s">
        <v>158</v>
      </c>
      <c r="E128" s="169">
        <v>517</v>
      </c>
      <c r="F128" s="170">
        <v>0</v>
      </c>
      <c r="G128" s="171">
        <f>ROUND(E128*F128,2)</f>
        <v>0</v>
      </c>
      <c r="H128" s="170">
        <v>121.97</v>
      </c>
      <c r="I128" s="171">
        <f>ROUND(E128*H128,2)</f>
        <v>63058.49</v>
      </c>
      <c r="J128" s="170">
        <v>21.53</v>
      </c>
      <c r="K128" s="171">
        <f>ROUND(E128*J128,2)</f>
        <v>11131.01</v>
      </c>
      <c r="L128" s="171">
        <v>21</v>
      </c>
      <c r="M128" s="171">
        <f>G128*(1+L128/100)</f>
        <v>0</v>
      </c>
      <c r="N128" s="171">
        <v>0.28799999999999998</v>
      </c>
      <c r="O128" s="171">
        <f>ROUND(E128*N128,2)</f>
        <v>148.9</v>
      </c>
      <c r="P128" s="171">
        <v>0</v>
      </c>
      <c r="Q128" s="171">
        <f>ROUND(E128*P128,2)</f>
        <v>0</v>
      </c>
      <c r="R128" s="171" t="s">
        <v>322</v>
      </c>
      <c r="S128" s="172" t="s">
        <v>147</v>
      </c>
      <c r="T128" s="156">
        <v>0.02</v>
      </c>
      <c r="U128" s="156">
        <f>ROUND(E128*T128,2)</f>
        <v>10.34</v>
      </c>
      <c r="V128" s="156"/>
      <c r="W128" s="156" t="s">
        <v>148</v>
      </c>
      <c r="X128" s="147"/>
      <c r="Y128" s="147"/>
      <c r="Z128" s="147"/>
      <c r="AA128" s="147"/>
      <c r="AB128" s="147"/>
      <c r="AC128" s="147"/>
      <c r="AD128" s="147"/>
      <c r="AE128" s="147"/>
      <c r="AF128" s="147" t="s">
        <v>149</v>
      </c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outlineLevel="1" x14ac:dyDescent="0.25">
      <c r="A129" s="154"/>
      <c r="B129" s="155"/>
      <c r="C129" s="184" t="s">
        <v>295</v>
      </c>
      <c r="D129" s="157"/>
      <c r="E129" s="158">
        <v>517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47"/>
      <c r="Y129" s="147"/>
      <c r="Z129" s="147"/>
      <c r="AA129" s="147"/>
      <c r="AB129" s="147"/>
      <c r="AC129" s="147"/>
      <c r="AD129" s="147"/>
      <c r="AE129" s="147"/>
      <c r="AF129" s="147" t="s">
        <v>153</v>
      </c>
      <c r="AG129" s="147">
        <v>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20.399999999999999" outlineLevel="1" x14ac:dyDescent="0.25">
      <c r="A130" s="166">
        <v>38</v>
      </c>
      <c r="B130" s="167" t="s">
        <v>349</v>
      </c>
      <c r="C130" s="183" t="s">
        <v>350</v>
      </c>
      <c r="D130" s="168" t="s">
        <v>158</v>
      </c>
      <c r="E130" s="169">
        <v>222</v>
      </c>
      <c r="F130" s="170">
        <v>0</v>
      </c>
      <c r="G130" s="171">
        <f>ROUND(E130*F130,2)</f>
        <v>0</v>
      </c>
      <c r="H130" s="170">
        <v>112.97</v>
      </c>
      <c r="I130" s="171">
        <f>ROUND(E130*H130,2)</f>
        <v>25079.34</v>
      </c>
      <c r="J130" s="170">
        <v>21.53</v>
      </c>
      <c r="K130" s="171">
        <f>ROUND(E130*J130,2)</f>
        <v>4779.66</v>
      </c>
      <c r="L130" s="171">
        <v>21</v>
      </c>
      <c r="M130" s="171">
        <f>G130*(1+L130/100)</f>
        <v>0</v>
      </c>
      <c r="N130" s="171">
        <v>0.28799999999999998</v>
      </c>
      <c r="O130" s="171">
        <f>ROUND(E130*N130,2)</f>
        <v>63.94</v>
      </c>
      <c r="P130" s="171">
        <v>0</v>
      </c>
      <c r="Q130" s="171">
        <f>ROUND(E130*P130,2)</f>
        <v>0</v>
      </c>
      <c r="R130" s="171" t="s">
        <v>322</v>
      </c>
      <c r="S130" s="172" t="s">
        <v>147</v>
      </c>
      <c r="T130" s="156">
        <v>0.02</v>
      </c>
      <c r="U130" s="156">
        <f>ROUND(E130*T130,2)</f>
        <v>4.4400000000000004</v>
      </c>
      <c r="V130" s="156"/>
      <c r="W130" s="156" t="s">
        <v>148</v>
      </c>
      <c r="X130" s="147"/>
      <c r="Y130" s="147"/>
      <c r="Z130" s="147"/>
      <c r="AA130" s="147"/>
      <c r="AB130" s="147"/>
      <c r="AC130" s="147"/>
      <c r="AD130" s="147"/>
      <c r="AE130" s="147"/>
      <c r="AF130" s="147" t="s">
        <v>149</v>
      </c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outlineLevel="1" x14ac:dyDescent="0.25">
      <c r="A131" s="154"/>
      <c r="B131" s="155"/>
      <c r="C131" s="184" t="s">
        <v>351</v>
      </c>
      <c r="D131" s="157"/>
      <c r="E131" s="158">
        <v>222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47"/>
      <c r="Y131" s="147"/>
      <c r="Z131" s="147"/>
      <c r="AA131" s="147"/>
      <c r="AB131" s="147"/>
      <c r="AC131" s="147"/>
      <c r="AD131" s="147"/>
      <c r="AE131" s="147"/>
      <c r="AF131" s="147" t="s">
        <v>153</v>
      </c>
      <c r="AG131" s="147">
        <v>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20.399999999999999" outlineLevel="1" x14ac:dyDescent="0.25">
      <c r="A132" s="166">
        <v>39</v>
      </c>
      <c r="B132" s="167" t="s">
        <v>352</v>
      </c>
      <c r="C132" s="183" t="s">
        <v>353</v>
      </c>
      <c r="D132" s="168" t="s">
        <v>158</v>
      </c>
      <c r="E132" s="169">
        <v>292.32</v>
      </c>
      <c r="F132" s="170">
        <v>0</v>
      </c>
      <c r="G132" s="171">
        <f>ROUND(E132*F132,2)</f>
        <v>0</v>
      </c>
      <c r="H132" s="170">
        <v>160.13999999999999</v>
      </c>
      <c r="I132" s="171">
        <f>ROUND(E132*H132,2)</f>
        <v>46812.12</v>
      </c>
      <c r="J132" s="170">
        <v>25.36</v>
      </c>
      <c r="K132" s="171">
        <f>ROUND(E132*J132,2)</f>
        <v>7413.24</v>
      </c>
      <c r="L132" s="171">
        <v>21</v>
      </c>
      <c r="M132" s="171">
        <f>G132*(1+L132/100)</f>
        <v>0</v>
      </c>
      <c r="N132" s="171">
        <v>0.378</v>
      </c>
      <c r="O132" s="171">
        <f>ROUND(E132*N132,2)</f>
        <v>110.5</v>
      </c>
      <c r="P132" s="171">
        <v>0</v>
      </c>
      <c r="Q132" s="171">
        <f>ROUND(E132*P132,2)</f>
        <v>0</v>
      </c>
      <c r="R132" s="171" t="s">
        <v>322</v>
      </c>
      <c r="S132" s="172" t="s">
        <v>147</v>
      </c>
      <c r="T132" s="156">
        <v>2.5999999999999999E-2</v>
      </c>
      <c r="U132" s="156">
        <f>ROUND(E132*T132,2)</f>
        <v>7.6</v>
      </c>
      <c r="V132" s="156"/>
      <c r="W132" s="156" t="s">
        <v>148</v>
      </c>
      <c r="X132" s="147"/>
      <c r="Y132" s="147"/>
      <c r="Z132" s="147"/>
      <c r="AA132" s="147"/>
      <c r="AB132" s="147"/>
      <c r="AC132" s="147"/>
      <c r="AD132" s="147"/>
      <c r="AE132" s="147"/>
      <c r="AF132" s="147" t="s">
        <v>149</v>
      </c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outlineLevel="1" x14ac:dyDescent="0.25">
      <c r="A133" s="154"/>
      <c r="B133" s="155"/>
      <c r="C133" s="184" t="s">
        <v>351</v>
      </c>
      <c r="D133" s="157"/>
      <c r="E133" s="158">
        <v>222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47"/>
      <c r="Y133" s="147"/>
      <c r="Z133" s="147"/>
      <c r="AA133" s="147"/>
      <c r="AB133" s="147"/>
      <c r="AC133" s="147"/>
      <c r="AD133" s="147"/>
      <c r="AE133" s="147"/>
      <c r="AF133" s="147" t="s">
        <v>153</v>
      </c>
      <c r="AG133" s="147">
        <v>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outlineLevel="1" x14ac:dyDescent="0.25">
      <c r="A134" s="154"/>
      <c r="B134" s="155"/>
      <c r="C134" s="184" t="s">
        <v>354</v>
      </c>
      <c r="D134" s="157"/>
      <c r="E134" s="158">
        <v>70.319999999999993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47"/>
      <c r="Y134" s="147"/>
      <c r="Z134" s="147"/>
      <c r="AA134" s="147"/>
      <c r="AB134" s="147"/>
      <c r="AC134" s="147"/>
      <c r="AD134" s="147"/>
      <c r="AE134" s="147"/>
      <c r="AF134" s="147" t="s">
        <v>153</v>
      </c>
      <c r="AG134" s="147">
        <v>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20.399999999999999" outlineLevel="1" x14ac:dyDescent="0.25">
      <c r="A135" s="166">
        <v>40</v>
      </c>
      <c r="B135" s="167" t="s">
        <v>355</v>
      </c>
      <c r="C135" s="183" t="s">
        <v>356</v>
      </c>
      <c r="D135" s="168" t="s">
        <v>158</v>
      </c>
      <c r="E135" s="169">
        <v>137.5</v>
      </c>
      <c r="F135" s="170">
        <v>0</v>
      </c>
      <c r="G135" s="171">
        <f>ROUND(E135*F135,2)</f>
        <v>0</v>
      </c>
      <c r="H135" s="170">
        <v>181.26</v>
      </c>
      <c r="I135" s="171">
        <f>ROUND(E135*H135,2)</f>
        <v>24923.25</v>
      </c>
      <c r="J135" s="170">
        <v>26.24</v>
      </c>
      <c r="K135" s="171">
        <f>ROUND(E135*J135,2)</f>
        <v>3608</v>
      </c>
      <c r="L135" s="171">
        <v>21</v>
      </c>
      <c r="M135" s="171">
        <f>G135*(1+L135/100)</f>
        <v>0</v>
      </c>
      <c r="N135" s="171">
        <v>0.4284</v>
      </c>
      <c r="O135" s="171">
        <f>ROUND(E135*N135,2)</f>
        <v>58.91</v>
      </c>
      <c r="P135" s="171">
        <v>0</v>
      </c>
      <c r="Q135" s="171">
        <f>ROUND(E135*P135,2)</f>
        <v>0</v>
      </c>
      <c r="R135" s="171" t="s">
        <v>322</v>
      </c>
      <c r="S135" s="172" t="s">
        <v>147</v>
      </c>
      <c r="T135" s="156">
        <v>2.5999999999999999E-2</v>
      </c>
      <c r="U135" s="156">
        <f>ROUND(E135*T135,2)</f>
        <v>3.58</v>
      </c>
      <c r="V135" s="156"/>
      <c r="W135" s="156" t="s">
        <v>148</v>
      </c>
      <c r="X135" s="147"/>
      <c r="Y135" s="147"/>
      <c r="Z135" s="147"/>
      <c r="AA135" s="147"/>
      <c r="AB135" s="147"/>
      <c r="AC135" s="147"/>
      <c r="AD135" s="147"/>
      <c r="AE135" s="147"/>
      <c r="AF135" s="147" t="s">
        <v>149</v>
      </c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outlineLevel="1" x14ac:dyDescent="0.25">
      <c r="A136" s="154"/>
      <c r="B136" s="155"/>
      <c r="C136" s="184" t="s">
        <v>296</v>
      </c>
      <c r="D136" s="157"/>
      <c r="E136" s="158">
        <v>137.5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47"/>
      <c r="Y136" s="147"/>
      <c r="Z136" s="147"/>
      <c r="AA136" s="147"/>
      <c r="AB136" s="147"/>
      <c r="AC136" s="147"/>
      <c r="AD136" s="147"/>
      <c r="AE136" s="147"/>
      <c r="AF136" s="147" t="s">
        <v>153</v>
      </c>
      <c r="AG136" s="147">
        <v>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20.399999999999999" outlineLevel="1" x14ac:dyDescent="0.25">
      <c r="A137" s="166">
        <v>41</v>
      </c>
      <c r="B137" s="167" t="s">
        <v>357</v>
      </c>
      <c r="C137" s="183" t="s">
        <v>358</v>
      </c>
      <c r="D137" s="168" t="s">
        <v>158</v>
      </c>
      <c r="E137" s="169">
        <v>70.319999999999993</v>
      </c>
      <c r="F137" s="170">
        <v>0</v>
      </c>
      <c r="G137" s="171">
        <f>ROUND(E137*F137,2)</f>
        <v>0</v>
      </c>
      <c r="H137" s="170">
        <v>186.66</v>
      </c>
      <c r="I137" s="171">
        <f>ROUND(E137*H137,2)</f>
        <v>13125.93</v>
      </c>
      <c r="J137" s="170">
        <v>29.34</v>
      </c>
      <c r="K137" s="171">
        <f>ROUND(E137*J137,2)</f>
        <v>2063.19</v>
      </c>
      <c r="L137" s="171">
        <v>21</v>
      </c>
      <c r="M137" s="171">
        <f>G137*(1+L137/100)</f>
        <v>0</v>
      </c>
      <c r="N137" s="171">
        <v>0.441</v>
      </c>
      <c r="O137" s="171">
        <f>ROUND(E137*N137,2)</f>
        <v>31.01</v>
      </c>
      <c r="P137" s="171">
        <v>0</v>
      </c>
      <c r="Q137" s="171">
        <f>ROUND(E137*P137,2)</f>
        <v>0</v>
      </c>
      <c r="R137" s="171" t="s">
        <v>322</v>
      </c>
      <c r="S137" s="172" t="s">
        <v>147</v>
      </c>
      <c r="T137" s="156">
        <v>2.9000000000000001E-2</v>
      </c>
      <c r="U137" s="156">
        <f>ROUND(E137*T137,2)</f>
        <v>2.04</v>
      </c>
      <c r="V137" s="156"/>
      <c r="W137" s="156" t="s">
        <v>148</v>
      </c>
      <c r="X137" s="147"/>
      <c r="Y137" s="147"/>
      <c r="Z137" s="147"/>
      <c r="AA137" s="147"/>
      <c r="AB137" s="147"/>
      <c r="AC137" s="147"/>
      <c r="AD137" s="147"/>
      <c r="AE137" s="147"/>
      <c r="AF137" s="147" t="s">
        <v>149</v>
      </c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outlineLevel="1" x14ac:dyDescent="0.25">
      <c r="A138" s="154"/>
      <c r="B138" s="155"/>
      <c r="C138" s="184" t="s">
        <v>354</v>
      </c>
      <c r="D138" s="157"/>
      <c r="E138" s="158">
        <v>70.319999999999993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47"/>
      <c r="Y138" s="147"/>
      <c r="Z138" s="147"/>
      <c r="AA138" s="147"/>
      <c r="AB138" s="147"/>
      <c r="AC138" s="147"/>
      <c r="AD138" s="147"/>
      <c r="AE138" s="147"/>
      <c r="AF138" s="147" t="s">
        <v>153</v>
      </c>
      <c r="AG138" s="147">
        <v>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20.399999999999999" outlineLevel="1" x14ac:dyDescent="0.25">
      <c r="A139" s="166">
        <v>42</v>
      </c>
      <c r="B139" s="167" t="s">
        <v>359</v>
      </c>
      <c r="C139" s="183" t="s">
        <v>360</v>
      </c>
      <c r="D139" s="168" t="s">
        <v>335</v>
      </c>
      <c r="E139" s="169">
        <v>24</v>
      </c>
      <c r="F139" s="170">
        <v>0</v>
      </c>
      <c r="G139" s="171">
        <f>ROUND(E139*F139,2)</f>
        <v>0</v>
      </c>
      <c r="H139" s="170">
        <v>90.28</v>
      </c>
      <c r="I139" s="171">
        <f>ROUND(E139*H139,2)</f>
        <v>2166.7199999999998</v>
      </c>
      <c r="J139" s="170">
        <v>192.72</v>
      </c>
      <c r="K139" s="171">
        <f>ROUND(E139*J139,2)</f>
        <v>4625.28</v>
      </c>
      <c r="L139" s="171">
        <v>21</v>
      </c>
      <c r="M139" s="171">
        <f>G139*(1+L139/100)</f>
        <v>0</v>
      </c>
      <c r="N139" s="171">
        <v>9.01E-2</v>
      </c>
      <c r="O139" s="171">
        <f>ROUND(E139*N139,2)</f>
        <v>2.16</v>
      </c>
      <c r="P139" s="171">
        <v>0</v>
      </c>
      <c r="Q139" s="171">
        <f>ROUND(E139*P139,2)</f>
        <v>0</v>
      </c>
      <c r="R139" s="171" t="s">
        <v>322</v>
      </c>
      <c r="S139" s="172" t="s">
        <v>147</v>
      </c>
      <c r="T139" s="156">
        <v>0.4415</v>
      </c>
      <c r="U139" s="156">
        <f>ROUND(E139*T139,2)</f>
        <v>10.6</v>
      </c>
      <c r="V139" s="156"/>
      <c r="W139" s="156" t="s">
        <v>148</v>
      </c>
      <c r="X139" s="147"/>
      <c r="Y139" s="147"/>
      <c r="Z139" s="147"/>
      <c r="AA139" s="147"/>
      <c r="AB139" s="147"/>
      <c r="AC139" s="147"/>
      <c r="AD139" s="147"/>
      <c r="AE139" s="147"/>
      <c r="AF139" s="147" t="s">
        <v>149</v>
      </c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outlineLevel="1" x14ac:dyDescent="0.25">
      <c r="A140" s="154"/>
      <c r="B140" s="155"/>
      <c r="C140" s="184" t="s">
        <v>361</v>
      </c>
      <c r="D140" s="157"/>
      <c r="E140" s="158">
        <v>24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47"/>
      <c r="Y140" s="147"/>
      <c r="Z140" s="147"/>
      <c r="AA140" s="147"/>
      <c r="AB140" s="147"/>
      <c r="AC140" s="147"/>
      <c r="AD140" s="147"/>
      <c r="AE140" s="147"/>
      <c r="AF140" s="147" t="s">
        <v>153</v>
      </c>
      <c r="AG140" s="147">
        <v>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outlineLevel="1" x14ac:dyDescent="0.25">
      <c r="A141" s="166">
        <v>43</v>
      </c>
      <c r="B141" s="167" t="s">
        <v>362</v>
      </c>
      <c r="C141" s="183" t="s">
        <v>363</v>
      </c>
      <c r="D141" s="168" t="s">
        <v>158</v>
      </c>
      <c r="E141" s="169">
        <v>470</v>
      </c>
      <c r="F141" s="170">
        <v>0</v>
      </c>
      <c r="G141" s="171">
        <f>ROUND(E141*F141,2)</f>
        <v>0</v>
      </c>
      <c r="H141" s="170">
        <v>62.86</v>
      </c>
      <c r="I141" s="171">
        <f>ROUND(E141*H141,2)</f>
        <v>29544.2</v>
      </c>
      <c r="J141" s="170">
        <v>25.94</v>
      </c>
      <c r="K141" s="171">
        <f>ROUND(E141*J141,2)</f>
        <v>12191.8</v>
      </c>
      <c r="L141" s="171">
        <v>21</v>
      </c>
      <c r="M141" s="171">
        <f>G141*(1+L141/100)</f>
        <v>0</v>
      </c>
      <c r="N141" s="171">
        <v>0.2024</v>
      </c>
      <c r="O141" s="171">
        <f>ROUND(E141*N141,2)</f>
        <v>95.13</v>
      </c>
      <c r="P141" s="171">
        <v>0</v>
      </c>
      <c r="Q141" s="171">
        <f>ROUND(E141*P141,2)</f>
        <v>0</v>
      </c>
      <c r="R141" s="171"/>
      <c r="S141" s="172" t="s">
        <v>175</v>
      </c>
      <c r="T141" s="156">
        <v>2.4E-2</v>
      </c>
      <c r="U141" s="156">
        <f>ROUND(E141*T141,2)</f>
        <v>11.28</v>
      </c>
      <c r="V141" s="156"/>
      <c r="W141" s="156" t="s">
        <v>148</v>
      </c>
      <c r="X141" s="147"/>
      <c r="Y141" s="147"/>
      <c r="Z141" s="147"/>
      <c r="AA141" s="147"/>
      <c r="AB141" s="147"/>
      <c r="AC141" s="147"/>
      <c r="AD141" s="147"/>
      <c r="AE141" s="147"/>
      <c r="AF141" s="147" t="s">
        <v>149</v>
      </c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outlineLevel="1" x14ac:dyDescent="0.25">
      <c r="A142" s="154"/>
      <c r="B142" s="155"/>
      <c r="C142" s="184" t="s">
        <v>283</v>
      </c>
      <c r="D142" s="157"/>
      <c r="E142" s="158">
        <v>470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47"/>
      <c r="Y142" s="147"/>
      <c r="Z142" s="147"/>
      <c r="AA142" s="147"/>
      <c r="AB142" s="147"/>
      <c r="AC142" s="147"/>
      <c r="AD142" s="147"/>
      <c r="AE142" s="147"/>
      <c r="AF142" s="147" t="s">
        <v>153</v>
      </c>
      <c r="AG142" s="147">
        <v>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outlineLevel="1" x14ac:dyDescent="0.25">
      <c r="A143" s="166">
        <v>44</v>
      </c>
      <c r="B143" s="167" t="s">
        <v>364</v>
      </c>
      <c r="C143" s="183" t="s">
        <v>365</v>
      </c>
      <c r="D143" s="168" t="s">
        <v>158</v>
      </c>
      <c r="E143" s="169">
        <v>125</v>
      </c>
      <c r="F143" s="170">
        <v>0</v>
      </c>
      <c r="G143" s="171">
        <f>ROUND(E143*F143,2)</f>
        <v>0</v>
      </c>
      <c r="H143" s="170">
        <v>113.86</v>
      </c>
      <c r="I143" s="171">
        <f>ROUND(E143*H143,2)</f>
        <v>14232.5</v>
      </c>
      <c r="J143" s="170">
        <v>45.94</v>
      </c>
      <c r="K143" s="171">
        <f>ROUND(E143*J143,2)</f>
        <v>5742.5</v>
      </c>
      <c r="L143" s="171">
        <v>21</v>
      </c>
      <c r="M143" s="171">
        <f>G143*(1+L143/100)</f>
        <v>0</v>
      </c>
      <c r="N143" s="171">
        <v>0.36431999999999998</v>
      </c>
      <c r="O143" s="171">
        <f>ROUND(E143*N143,2)</f>
        <v>45.54</v>
      </c>
      <c r="P143" s="171">
        <v>0</v>
      </c>
      <c r="Q143" s="171">
        <f>ROUND(E143*P143,2)</f>
        <v>0</v>
      </c>
      <c r="R143" s="171"/>
      <c r="S143" s="172" t="s">
        <v>175</v>
      </c>
      <c r="T143" s="156">
        <v>2.4E-2</v>
      </c>
      <c r="U143" s="156">
        <f>ROUND(E143*T143,2)</f>
        <v>3</v>
      </c>
      <c r="V143" s="156"/>
      <c r="W143" s="156" t="s">
        <v>148</v>
      </c>
      <c r="X143" s="147"/>
      <c r="Y143" s="147"/>
      <c r="Z143" s="147"/>
      <c r="AA143" s="147"/>
      <c r="AB143" s="147"/>
      <c r="AC143" s="147"/>
      <c r="AD143" s="147"/>
      <c r="AE143" s="147"/>
      <c r="AF143" s="147" t="s">
        <v>149</v>
      </c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outlineLevel="1" x14ac:dyDescent="0.25">
      <c r="A144" s="154"/>
      <c r="B144" s="155"/>
      <c r="C144" s="184" t="s">
        <v>284</v>
      </c>
      <c r="D144" s="157"/>
      <c r="E144" s="158">
        <v>125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47"/>
      <c r="Y144" s="147"/>
      <c r="Z144" s="147"/>
      <c r="AA144" s="147"/>
      <c r="AB144" s="147"/>
      <c r="AC144" s="147"/>
      <c r="AD144" s="147"/>
      <c r="AE144" s="147"/>
      <c r="AF144" s="147" t="s">
        <v>153</v>
      </c>
      <c r="AG144" s="147">
        <v>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20.399999999999999" outlineLevel="1" x14ac:dyDescent="0.25">
      <c r="A145" s="166">
        <v>45</v>
      </c>
      <c r="B145" s="167" t="s">
        <v>366</v>
      </c>
      <c r="C145" s="183" t="s">
        <v>367</v>
      </c>
      <c r="D145" s="168" t="s">
        <v>158</v>
      </c>
      <c r="E145" s="169">
        <v>185</v>
      </c>
      <c r="F145" s="170">
        <v>0</v>
      </c>
      <c r="G145" s="171">
        <f>ROUND(E145*F145,2)</f>
        <v>0</v>
      </c>
      <c r="H145" s="170">
        <v>871</v>
      </c>
      <c r="I145" s="171">
        <f>ROUND(E145*H145,2)</f>
        <v>161135</v>
      </c>
      <c r="J145" s="170">
        <v>59</v>
      </c>
      <c r="K145" s="171">
        <f>ROUND(E145*J145,2)</f>
        <v>10915</v>
      </c>
      <c r="L145" s="171">
        <v>21</v>
      </c>
      <c r="M145" s="171">
        <f>G145*(1+L145/100)</f>
        <v>0</v>
      </c>
      <c r="N145" s="171">
        <v>0.43037999999999998</v>
      </c>
      <c r="O145" s="171">
        <f>ROUND(E145*N145,2)</f>
        <v>79.62</v>
      </c>
      <c r="P145" s="171">
        <v>0</v>
      </c>
      <c r="Q145" s="171">
        <f>ROUND(E145*P145,2)</f>
        <v>0</v>
      </c>
      <c r="R145" s="171"/>
      <c r="S145" s="172" t="s">
        <v>175</v>
      </c>
      <c r="T145" s="156">
        <v>0.09</v>
      </c>
      <c r="U145" s="156">
        <f>ROUND(E145*T145,2)</f>
        <v>16.649999999999999</v>
      </c>
      <c r="V145" s="156"/>
      <c r="W145" s="156" t="s">
        <v>148</v>
      </c>
      <c r="X145" s="147"/>
      <c r="Y145" s="147"/>
      <c r="Z145" s="147"/>
      <c r="AA145" s="147"/>
      <c r="AB145" s="147"/>
      <c r="AC145" s="147"/>
      <c r="AD145" s="147"/>
      <c r="AE145" s="147"/>
      <c r="AF145" s="147" t="s">
        <v>149</v>
      </c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outlineLevel="1" x14ac:dyDescent="0.25">
      <c r="A146" s="154"/>
      <c r="B146" s="155"/>
      <c r="C146" s="184" t="s">
        <v>368</v>
      </c>
      <c r="D146" s="157"/>
      <c r="E146" s="158">
        <v>185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47"/>
      <c r="Y146" s="147"/>
      <c r="Z146" s="147"/>
      <c r="AA146" s="147"/>
      <c r="AB146" s="147"/>
      <c r="AC146" s="147"/>
      <c r="AD146" s="147"/>
      <c r="AE146" s="147"/>
      <c r="AF146" s="147" t="s">
        <v>153</v>
      </c>
      <c r="AG146" s="147">
        <v>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outlineLevel="1" x14ac:dyDescent="0.25">
      <c r="A147" s="174">
        <v>46</v>
      </c>
      <c r="B147" s="175" t="s">
        <v>369</v>
      </c>
      <c r="C147" s="185" t="s">
        <v>370</v>
      </c>
      <c r="D147" s="176" t="s">
        <v>315</v>
      </c>
      <c r="E147" s="177">
        <v>2</v>
      </c>
      <c r="F147" s="178">
        <v>0</v>
      </c>
      <c r="G147" s="179">
        <f>ROUND(E147*F147,2)</f>
        <v>0</v>
      </c>
      <c r="H147" s="178">
        <v>44.14</v>
      </c>
      <c r="I147" s="179">
        <f>ROUND(E147*H147,2)</f>
        <v>88.28</v>
      </c>
      <c r="J147" s="178">
        <v>0</v>
      </c>
      <c r="K147" s="179">
        <f>ROUND(E147*J147,2)</f>
        <v>0</v>
      </c>
      <c r="L147" s="179">
        <v>21</v>
      </c>
      <c r="M147" s="179">
        <f>G147*(1+L147/100)</f>
        <v>0</v>
      </c>
      <c r="N147" s="179">
        <v>1E-4</v>
      </c>
      <c r="O147" s="179">
        <f>ROUND(E147*N147,2)</f>
        <v>0</v>
      </c>
      <c r="P147" s="179">
        <v>0</v>
      </c>
      <c r="Q147" s="179">
        <f>ROUND(E147*P147,2)</f>
        <v>0</v>
      </c>
      <c r="R147" s="179" t="s">
        <v>169</v>
      </c>
      <c r="S147" s="180" t="s">
        <v>371</v>
      </c>
      <c r="T147" s="156">
        <v>0</v>
      </c>
      <c r="U147" s="156">
        <f>ROUND(E147*T147,2)</f>
        <v>0</v>
      </c>
      <c r="V147" s="156"/>
      <c r="W147" s="156" t="s">
        <v>170</v>
      </c>
      <c r="X147" s="147"/>
      <c r="Y147" s="147"/>
      <c r="Z147" s="147"/>
      <c r="AA147" s="147"/>
      <c r="AB147" s="147"/>
      <c r="AC147" s="147"/>
      <c r="AD147" s="147"/>
      <c r="AE147" s="147"/>
      <c r="AF147" s="147" t="s">
        <v>171</v>
      </c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outlineLevel="1" x14ac:dyDescent="0.25">
      <c r="A148" s="174">
        <v>47</v>
      </c>
      <c r="B148" s="175" t="s">
        <v>372</v>
      </c>
      <c r="C148" s="185" t="s">
        <v>373</v>
      </c>
      <c r="D148" s="176" t="s">
        <v>315</v>
      </c>
      <c r="E148" s="177">
        <v>2</v>
      </c>
      <c r="F148" s="178">
        <v>0</v>
      </c>
      <c r="G148" s="179">
        <f>ROUND(E148*F148,2)</f>
        <v>0</v>
      </c>
      <c r="H148" s="178">
        <v>66.209999999999994</v>
      </c>
      <c r="I148" s="179">
        <f>ROUND(E148*H148,2)</f>
        <v>132.41999999999999</v>
      </c>
      <c r="J148" s="178">
        <v>0</v>
      </c>
      <c r="K148" s="179">
        <f>ROUND(E148*J148,2)</f>
        <v>0</v>
      </c>
      <c r="L148" s="179">
        <v>21</v>
      </c>
      <c r="M148" s="179">
        <f>G148*(1+L148/100)</f>
        <v>0</v>
      </c>
      <c r="N148" s="179">
        <v>1E-4</v>
      </c>
      <c r="O148" s="179">
        <f>ROUND(E148*N148,2)</f>
        <v>0</v>
      </c>
      <c r="P148" s="179">
        <v>0</v>
      </c>
      <c r="Q148" s="179">
        <f>ROUND(E148*P148,2)</f>
        <v>0</v>
      </c>
      <c r="R148" s="179" t="s">
        <v>169</v>
      </c>
      <c r="S148" s="180" t="s">
        <v>371</v>
      </c>
      <c r="T148" s="156">
        <v>0</v>
      </c>
      <c r="U148" s="156">
        <f>ROUND(E148*T148,2)</f>
        <v>0</v>
      </c>
      <c r="V148" s="156"/>
      <c r="W148" s="156" t="s">
        <v>170</v>
      </c>
      <c r="X148" s="147"/>
      <c r="Y148" s="147"/>
      <c r="Z148" s="147"/>
      <c r="AA148" s="147"/>
      <c r="AB148" s="147"/>
      <c r="AC148" s="147"/>
      <c r="AD148" s="147"/>
      <c r="AE148" s="147"/>
      <c r="AF148" s="147" t="s">
        <v>171</v>
      </c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outlineLevel="1" x14ac:dyDescent="0.25">
      <c r="A149" s="166">
        <v>48</v>
      </c>
      <c r="B149" s="167" t="s">
        <v>374</v>
      </c>
      <c r="C149" s="183" t="s">
        <v>375</v>
      </c>
      <c r="D149" s="168" t="s">
        <v>145</v>
      </c>
      <c r="E149" s="169">
        <v>91.35</v>
      </c>
      <c r="F149" s="170">
        <v>0</v>
      </c>
      <c r="G149" s="171">
        <f>ROUND(E149*F149,2)</f>
        <v>0</v>
      </c>
      <c r="H149" s="170">
        <v>895</v>
      </c>
      <c r="I149" s="171">
        <f>ROUND(E149*H149,2)</f>
        <v>81758.25</v>
      </c>
      <c r="J149" s="170">
        <v>0</v>
      </c>
      <c r="K149" s="171">
        <f>ROUND(E149*J149,2)</f>
        <v>0</v>
      </c>
      <c r="L149" s="171">
        <v>21</v>
      </c>
      <c r="M149" s="171">
        <f>G149*(1+L149/100)</f>
        <v>0</v>
      </c>
      <c r="N149" s="171">
        <v>1.6</v>
      </c>
      <c r="O149" s="171">
        <f>ROUND(E149*N149,2)</f>
        <v>146.16</v>
      </c>
      <c r="P149" s="171">
        <v>0</v>
      </c>
      <c r="Q149" s="171">
        <f>ROUND(E149*P149,2)</f>
        <v>0</v>
      </c>
      <c r="R149" s="171"/>
      <c r="S149" s="172" t="s">
        <v>147</v>
      </c>
      <c r="T149" s="156">
        <v>0</v>
      </c>
      <c r="U149" s="156">
        <f>ROUND(E149*T149,2)</f>
        <v>0</v>
      </c>
      <c r="V149" s="156"/>
      <c r="W149" s="156" t="s">
        <v>170</v>
      </c>
      <c r="X149" s="147"/>
      <c r="Y149" s="147"/>
      <c r="Z149" s="147"/>
      <c r="AA149" s="147"/>
      <c r="AB149" s="147"/>
      <c r="AC149" s="147"/>
      <c r="AD149" s="147"/>
      <c r="AE149" s="147"/>
      <c r="AF149" s="147" t="s">
        <v>171</v>
      </c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outlineLevel="1" x14ac:dyDescent="0.25">
      <c r="A150" s="154"/>
      <c r="B150" s="155"/>
      <c r="C150" s="184" t="s">
        <v>376</v>
      </c>
      <c r="D150" s="157"/>
      <c r="E150" s="158">
        <v>91.35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47"/>
      <c r="Y150" s="147"/>
      <c r="Z150" s="147"/>
      <c r="AA150" s="147"/>
      <c r="AB150" s="147"/>
      <c r="AC150" s="147"/>
      <c r="AD150" s="147"/>
      <c r="AE150" s="147"/>
      <c r="AF150" s="147" t="s">
        <v>153</v>
      </c>
      <c r="AG150" s="147">
        <v>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20.399999999999999" outlineLevel="1" x14ac:dyDescent="0.25">
      <c r="A151" s="166">
        <v>49</v>
      </c>
      <c r="B151" s="167" t="s">
        <v>377</v>
      </c>
      <c r="C151" s="183" t="s">
        <v>378</v>
      </c>
      <c r="D151" s="168" t="s">
        <v>315</v>
      </c>
      <c r="E151" s="169">
        <v>24</v>
      </c>
      <c r="F151" s="170">
        <v>0</v>
      </c>
      <c r="G151" s="171">
        <f>ROUND(E151*F151,2)</f>
        <v>0</v>
      </c>
      <c r="H151" s="170">
        <v>548.94000000000005</v>
      </c>
      <c r="I151" s="171">
        <f>ROUND(E151*H151,2)</f>
        <v>13174.56</v>
      </c>
      <c r="J151" s="170">
        <v>0</v>
      </c>
      <c r="K151" s="171">
        <f>ROUND(E151*J151,2)</f>
        <v>0</v>
      </c>
      <c r="L151" s="171">
        <v>21</v>
      </c>
      <c r="M151" s="171">
        <f>G151*(1+L151/100)</f>
        <v>0</v>
      </c>
      <c r="N151" s="171">
        <v>8.5000000000000006E-3</v>
      </c>
      <c r="O151" s="171">
        <f>ROUND(E151*N151,2)</f>
        <v>0.2</v>
      </c>
      <c r="P151" s="171">
        <v>0</v>
      </c>
      <c r="Q151" s="171">
        <f>ROUND(E151*P151,2)</f>
        <v>0</v>
      </c>
      <c r="R151" s="171" t="s">
        <v>169</v>
      </c>
      <c r="S151" s="172" t="s">
        <v>371</v>
      </c>
      <c r="T151" s="156">
        <v>0</v>
      </c>
      <c r="U151" s="156">
        <f>ROUND(E151*T151,2)</f>
        <v>0</v>
      </c>
      <c r="V151" s="156"/>
      <c r="W151" s="156" t="s">
        <v>170</v>
      </c>
      <c r="X151" s="147"/>
      <c r="Y151" s="147"/>
      <c r="Z151" s="147"/>
      <c r="AA151" s="147"/>
      <c r="AB151" s="147"/>
      <c r="AC151" s="147"/>
      <c r="AD151" s="147"/>
      <c r="AE151" s="147"/>
      <c r="AF151" s="147" t="s">
        <v>171</v>
      </c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outlineLevel="1" x14ac:dyDescent="0.25">
      <c r="A152" s="154"/>
      <c r="B152" s="155"/>
      <c r="C152" s="184" t="s">
        <v>379</v>
      </c>
      <c r="D152" s="157"/>
      <c r="E152" s="158">
        <v>24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47"/>
      <c r="Y152" s="147"/>
      <c r="Z152" s="147"/>
      <c r="AA152" s="147"/>
      <c r="AB152" s="147"/>
      <c r="AC152" s="147"/>
      <c r="AD152" s="147"/>
      <c r="AE152" s="147"/>
      <c r="AF152" s="147" t="s">
        <v>153</v>
      </c>
      <c r="AG152" s="147">
        <v>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x14ac:dyDescent="0.25">
      <c r="A153" s="160" t="s">
        <v>141</v>
      </c>
      <c r="B153" s="161" t="s">
        <v>83</v>
      </c>
      <c r="C153" s="182" t="s">
        <v>84</v>
      </c>
      <c r="D153" s="162"/>
      <c r="E153" s="163"/>
      <c r="F153" s="164"/>
      <c r="G153" s="164">
        <f>SUMIF(AF154:AF161,"&lt;&gt;NOR",G154:G161)</f>
        <v>0</v>
      </c>
      <c r="H153" s="164"/>
      <c r="I153" s="164">
        <f>SUM(I154:I161)</f>
        <v>13708.2</v>
      </c>
      <c r="J153" s="164"/>
      <c r="K153" s="164">
        <f>SUM(K154:K161)</f>
        <v>29580.739999999998</v>
      </c>
      <c r="L153" s="164"/>
      <c r="M153" s="164">
        <f>SUM(M154:M161)</f>
        <v>0</v>
      </c>
      <c r="N153" s="164"/>
      <c r="O153" s="164">
        <f>SUM(O154:O161)</f>
        <v>1.58</v>
      </c>
      <c r="P153" s="164"/>
      <c r="Q153" s="164">
        <f>SUM(Q154:Q161)</f>
        <v>0</v>
      </c>
      <c r="R153" s="164"/>
      <c r="S153" s="165"/>
      <c r="T153" s="159"/>
      <c r="U153" s="159">
        <f>SUM(U154:U161)</f>
        <v>62.730000000000004</v>
      </c>
      <c r="V153" s="159"/>
      <c r="W153" s="159"/>
      <c r="AF153" t="s">
        <v>142</v>
      </c>
    </row>
    <row r="154" spans="1:59" outlineLevel="1" x14ac:dyDescent="0.25">
      <c r="A154" s="166">
        <v>50</v>
      </c>
      <c r="B154" s="167" t="s">
        <v>380</v>
      </c>
      <c r="C154" s="183" t="s">
        <v>381</v>
      </c>
      <c r="D154" s="168" t="s">
        <v>158</v>
      </c>
      <c r="E154" s="169">
        <v>148.50620000000001</v>
      </c>
      <c r="F154" s="170">
        <v>0</v>
      </c>
      <c r="G154" s="171">
        <f>ROUND(E154*F154,2)</f>
        <v>0</v>
      </c>
      <c r="H154" s="170">
        <v>2.99</v>
      </c>
      <c r="I154" s="171">
        <f>ROUND(E154*H154,2)</f>
        <v>444.03</v>
      </c>
      <c r="J154" s="170">
        <v>149.01</v>
      </c>
      <c r="K154" s="171">
        <f>ROUND(E154*J154,2)</f>
        <v>22128.91</v>
      </c>
      <c r="L154" s="171">
        <v>21</v>
      </c>
      <c r="M154" s="171">
        <f>G154*(1+L154/100)</f>
        <v>0</v>
      </c>
      <c r="N154" s="171">
        <v>2.5100000000000001E-3</v>
      </c>
      <c r="O154" s="171">
        <f>ROUND(E154*N154,2)</f>
        <v>0.37</v>
      </c>
      <c r="P154" s="171">
        <v>0</v>
      </c>
      <c r="Q154" s="171">
        <f>ROUND(E154*P154,2)</f>
        <v>0</v>
      </c>
      <c r="R154" s="171" t="s">
        <v>269</v>
      </c>
      <c r="S154" s="172" t="s">
        <v>147</v>
      </c>
      <c r="T154" s="156">
        <v>0.30099999999999999</v>
      </c>
      <c r="U154" s="156">
        <f>ROUND(E154*T154,2)</f>
        <v>44.7</v>
      </c>
      <c r="V154" s="156"/>
      <c r="W154" s="156" t="s">
        <v>148</v>
      </c>
      <c r="X154" s="147"/>
      <c r="Y154" s="147"/>
      <c r="Z154" s="147"/>
      <c r="AA154" s="147"/>
      <c r="AB154" s="147"/>
      <c r="AC154" s="147"/>
      <c r="AD154" s="147"/>
      <c r="AE154" s="147"/>
      <c r="AF154" s="147" t="s">
        <v>149</v>
      </c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outlineLevel="1" x14ac:dyDescent="0.25">
      <c r="A155" s="154"/>
      <c r="B155" s="155"/>
      <c r="C155" s="253" t="s">
        <v>382</v>
      </c>
      <c r="D155" s="253"/>
      <c r="E155" s="253"/>
      <c r="F155" s="253"/>
      <c r="G155" s="253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47"/>
      <c r="Y155" s="147"/>
      <c r="Z155" s="147"/>
      <c r="AA155" s="147"/>
      <c r="AB155" s="147"/>
      <c r="AC155" s="147"/>
      <c r="AD155" s="147"/>
      <c r="AE155" s="147"/>
      <c r="AF155" s="147" t="s">
        <v>151</v>
      </c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30.6" outlineLevel="1" x14ac:dyDescent="0.25">
      <c r="A156" s="154"/>
      <c r="B156" s="155"/>
      <c r="C156" s="184" t="s">
        <v>383</v>
      </c>
      <c r="D156" s="157"/>
      <c r="E156" s="158">
        <v>24.7502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47"/>
      <c r="Y156" s="147"/>
      <c r="Z156" s="147"/>
      <c r="AA156" s="147"/>
      <c r="AB156" s="147"/>
      <c r="AC156" s="147"/>
      <c r="AD156" s="147"/>
      <c r="AE156" s="147"/>
      <c r="AF156" s="147" t="s">
        <v>153</v>
      </c>
      <c r="AG156" s="147">
        <v>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outlineLevel="1" x14ac:dyDescent="0.25">
      <c r="A157" s="154"/>
      <c r="B157" s="155"/>
      <c r="C157" s="184" t="s">
        <v>384</v>
      </c>
      <c r="D157" s="157"/>
      <c r="E157" s="158">
        <v>36.42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47"/>
      <c r="Y157" s="147"/>
      <c r="Z157" s="147"/>
      <c r="AA157" s="147"/>
      <c r="AB157" s="147"/>
      <c r="AC157" s="147"/>
      <c r="AD157" s="147"/>
      <c r="AE157" s="147"/>
      <c r="AF157" s="147" t="s">
        <v>153</v>
      </c>
      <c r="AG157" s="147">
        <v>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outlineLevel="1" x14ac:dyDescent="0.25">
      <c r="A158" s="154"/>
      <c r="B158" s="155"/>
      <c r="C158" s="184" t="s">
        <v>385</v>
      </c>
      <c r="D158" s="157"/>
      <c r="E158" s="158">
        <v>87.335999999999999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47"/>
      <c r="Y158" s="147"/>
      <c r="Z158" s="147"/>
      <c r="AA158" s="147"/>
      <c r="AB158" s="147"/>
      <c r="AC158" s="147"/>
      <c r="AD158" s="147"/>
      <c r="AE158" s="147"/>
      <c r="AF158" s="147" t="s">
        <v>153</v>
      </c>
      <c r="AG158" s="147">
        <v>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30.6" outlineLevel="1" x14ac:dyDescent="0.25">
      <c r="A159" s="166">
        <v>51</v>
      </c>
      <c r="B159" s="167" t="s">
        <v>386</v>
      </c>
      <c r="C159" s="183" t="s">
        <v>387</v>
      </c>
      <c r="D159" s="168" t="s">
        <v>315</v>
      </c>
      <c r="E159" s="169">
        <v>42.363999999999997</v>
      </c>
      <c r="F159" s="170">
        <v>0</v>
      </c>
      <c r="G159" s="171">
        <f>ROUND(E159*F159,2)</f>
        <v>0</v>
      </c>
      <c r="H159" s="170">
        <v>313.10000000000002</v>
      </c>
      <c r="I159" s="171">
        <f>ROUND(E159*H159,2)</f>
        <v>13264.17</v>
      </c>
      <c r="J159" s="170">
        <v>175.9</v>
      </c>
      <c r="K159" s="171">
        <f>ROUND(E159*J159,2)</f>
        <v>7451.83</v>
      </c>
      <c r="L159" s="171">
        <v>21</v>
      </c>
      <c r="M159" s="171">
        <f>G159*(1+L159/100)</f>
        <v>0</v>
      </c>
      <c r="N159" s="171">
        <v>2.8670000000000001E-2</v>
      </c>
      <c r="O159" s="171">
        <f>ROUND(E159*N159,2)</f>
        <v>1.21</v>
      </c>
      <c r="P159" s="171">
        <v>0</v>
      </c>
      <c r="Q159" s="171">
        <f>ROUND(E159*P159,2)</f>
        <v>0</v>
      </c>
      <c r="R159" s="171" t="s">
        <v>388</v>
      </c>
      <c r="S159" s="172" t="s">
        <v>147</v>
      </c>
      <c r="T159" s="156">
        <v>0.42549999999999999</v>
      </c>
      <c r="U159" s="156">
        <f>ROUND(E159*T159,2)</f>
        <v>18.03</v>
      </c>
      <c r="V159" s="156"/>
      <c r="W159" s="156" t="s">
        <v>148</v>
      </c>
      <c r="X159" s="147"/>
      <c r="Y159" s="147"/>
      <c r="Z159" s="147"/>
      <c r="AA159" s="147"/>
      <c r="AB159" s="147"/>
      <c r="AC159" s="147"/>
      <c r="AD159" s="147"/>
      <c r="AE159" s="147"/>
      <c r="AF159" s="147" t="s">
        <v>149</v>
      </c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30.6" outlineLevel="1" x14ac:dyDescent="0.25">
      <c r="A160" s="154"/>
      <c r="B160" s="155"/>
      <c r="C160" s="184" t="s">
        <v>389</v>
      </c>
      <c r="D160" s="157"/>
      <c r="E160" s="158">
        <v>30.996410000000001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47"/>
      <c r="Y160" s="147"/>
      <c r="Z160" s="147"/>
      <c r="AA160" s="147"/>
      <c r="AB160" s="147"/>
      <c r="AC160" s="147"/>
      <c r="AD160" s="147"/>
      <c r="AE160" s="147"/>
      <c r="AF160" s="147" t="s">
        <v>153</v>
      </c>
      <c r="AG160" s="147">
        <v>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outlineLevel="1" x14ac:dyDescent="0.25">
      <c r="A161" s="154"/>
      <c r="B161" s="155"/>
      <c r="C161" s="184" t="s">
        <v>390</v>
      </c>
      <c r="D161" s="157"/>
      <c r="E161" s="158">
        <v>11.367599999999999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47"/>
      <c r="Y161" s="147"/>
      <c r="Z161" s="147"/>
      <c r="AA161" s="147"/>
      <c r="AB161" s="147"/>
      <c r="AC161" s="147"/>
      <c r="AD161" s="147"/>
      <c r="AE161" s="147"/>
      <c r="AF161" s="147" t="s">
        <v>153</v>
      </c>
      <c r="AG161" s="147">
        <v>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x14ac:dyDescent="0.25">
      <c r="A162" s="160" t="s">
        <v>141</v>
      </c>
      <c r="B162" s="161" t="s">
        <v>85</v>
      </c>
      <c r="C162" s="182" t="s">
        <v>86</v>
      </c>
      <c r="D162" s="162"/>
      <c r="E162" s="163"/>
      <c r="F162" s="164"/>
      <c r="G162" s="164">
        <f>SUMIF(AF163:AF177,"&lt;&gt;NOR",G163:G177)</f>
        <v>0</v>
      </c>
      <c r="H162" s="164"/>
      <c r="I162" s="164">
        <f>SUM(I163:I177)</f>
        <v>7029.24</v>
      </c>
      <c r="J162" s="164"/>
      <c r="K162" s="164">
        <f>SUM(K163:K177)</f>
        <v>3614.46</v>
      </c>
      <c r="L162" s="164"/>
      <c r="M162" s="164">
        <f>SUM(M163:M177)</f>
        <v>0</v>
      </c>
      <c r="N162" s="164"/>
      <c r="O162" s="164">
        <f>SUM(O163:O177)</f>
        <v>7.0699999999999994</v>
      </c>
      <c r="P162" s="164"/>
      <c r="Q162" s="164">
        <f>SUM(Q163:Q177)</f>
        <v>0</v>
      </c>
      <c r="R162" s="164"/>
      <c r="S162" s="165"/>
      <c r="T162" s="159"/>
      <c r="U162" s="159">
        <f>SUM(U163:U177)</f>
        <v>9.43</v>
      </c>
      <c r="V162" s="159"/>
      <c r="W162" s="159"/>
      <c r="AF162" t="s">
        <v>142</v>
      </c>
    </row>
    <row r="163" spans="1:59" outlineLevel="1" x14ac:dyDescent="0.25">
      <c r="A163" s="166">
        <v>52</v>
      </c>
      <c r="B163" s="167" t="s">
        <v>391</v>
      </c>
      <c r="C163" s="183" t="s">
        <v>392</v>
      </c>
      <c r="D163" s="168" t="s">
        <v>158</v>
      </c>
      <c r="E163" s="169">
        <v>45</v>
      </c>
      <c r="F163" s="170">
        <v>0</v>
      </c>
      <c r="G163" s="171">
        <f>ROUND(E163*F163,2)</f>
        <v>0</v>
      </c>
      <c r="H163" s="170">
        <v>3.12</v>
      </c>
      <c r="I163" s="171">
        <f>ROUND(E163*H163,2)</f>
        <v>140.4</v>
      </c>
      <c r="J163" s="170">
        <v>30.98</v>
      </c>
      <c r="K163" s="171">
        <f>ROUND(E163*J163,2)</f>
        <v>1394.1</v>
      </c>
      <c r="L163" s="171">
        <v>21</v>
      </c>
      <c r="M163" s="171">
        <f>G163*(1+L163/100)</f>
        <v>0</v>
      </c>
      <c r="N163" s="171">
        <v>1.8000000000000001E-4</v>
      </c>
      <c r="O163" s="171">
        <f>ROUND(E163*N163,2)</f>
        <v>0.01</v>
      </c>
      <c r="P163" s="171">
        <v>0</v>
      </c>
      <c r="Q163" s="171">
        <f>ROUND(E163*P163,2)</f>
        <v>0</v>
      </c>
      <c r="R163" s="171" t="s">
        <v>282</v>
      </c>
      <c r="S163" s="172" t="s">
        <v>147</v>
      </c>
      <c r="T163" s="156">
        <v>7.4999999999999997E-2</v>
      </c>
      <c r="U163" s="156">
        <f>ROUND(E163*T163,2)</f>
        <v>3.38</v>
      </c>
      <c r="V163" s="156"/>
      <c r="W163" s="156" t="s">
        <v>148</v>
      </c>
      <c r="X163" s="147"/>
      <c r="Y163" s="147"/>
      <c r="Z163" s="147"/>
      <c r="AA163" s="147"/>
      <c r="AB163" s="147"/>
      <c r="AC163" s="147"/>
      <c r="AD163" s="147"/>
      <c r="AE163" s="147"/>
      <c r="AF163" s="147" t="s">
        <v>149</v>
      </c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outlineLevel="1" x14ac:dyDescent="0.25">
      <c r="A164" s="154"/>
      <c r="B164" s="155"/>
      <c r="C164" s="253" t="s">
        <v>393</v>
      </c>
      <c r="D164" s="253"/>
      <c r="E164" s="253"/>
      <c r="F164" s="253"/>
      <c r="G164" s="253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47"/>
      <c r="Y164" s="147"/>
      <c r="Z164" s="147"/>
      <c r="AA164" s="147"/>
      <c r="AB164" s="147"/>
      <c r="AC164" s="147"/>
      <c r="AD164" s="147"/>
      <c r="AE164" s="147"/>
      <c r="AF164" s="147" t="s">
        <v>151</v>
      </c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outlineLevel="1" x14ac:dyDescent="0.25">
      <c r="A165" s="154"/>
      <c r="B165" s="155"/>
      <c r="C165" s="184" t="s">
        <v>394</v>
      </c>
      <c r="D165" s="157"/>
      <c r="E165" s="158">
        <v>45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47"/>
      <c r="Y165" s="147"/>
      <c r="Z165" s="147"/>
      <c r="AA165" s="147"/>
      <c r="AB165" s="147"/>
      <c r="AC165" s="147"/>
      <c r="AD165" s="147"/>
      <c r="AE165" s="147"/>
      <c r="AF165" s="147" t="s">
        <v>153</v>
      </c>
      <c r="AG165" s="147">
        <v>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outlineLevel="1" x14ac:dyDescent="0.25">
      <c r="A166" s="166">
        <v>53</v>
      </c>
      <c r="B166" s="167" t="s">
        <v>395</v>
      </c>
      <c r="C166" s="183" t="s">
        <v>396</v>
      </c>
      <c r="D166" s="168" t="s">
        <v>145</v>
      </c>
      <c r="E166" s="169">
        <v>0.5625</v>
      </c>
      <c r="F166" s="170">
        <v>0</v>
      </c>
      <c r="G166" s="171">
        <f>ROUND(E166*F166,2)</f>
        <v>0</v>
      </c>
      <c r="H166" s="170">
        <v>1980.97</v>
      </c>
      <c r="I166" s="171">
        <f>ROUND(E166*H166,2)</f>
        <v>1114.3</v>
      </c>
      <c r="J166" s="170">
        <v>699.03</v>
      </c>
      <c r="K166" s="171">
        <f>ROUND(E166*J166,2)</f>
        <v>393.2</v>
      </c>
      <c r="L166" s="171">
        <v>21</v>
      </c>
      <c r="M166" s="171">
        <f>G166*(1+L166/100)</f>
        <v>0</v>
      </c>
      <c r="N166" s="171">
        <v>2.5249999999999999</v>
      </c>
      <c r="O166" s="171">
        <f>ROUND(E166*N166,2)</f>
        <v>1.42</v>
      </c>
      <c r="P166" s="171">
        <v>0</v>
      </c>
      <c r="Q166" s="171">
        <f>ROUND(E166*P166,2)</f>
        <v>0</v>
      </c>
      <c r="R166" s="171" t="s">
        <v>282</v>
      </c>
      <c r="S166" s="172" t="s">
        <v>147</v>
      </c>
      <c r="T166" s="156">
        <v>1.89</v>
      </c>
      <c r="U166" s="156">
        <f>ROUND(E166*T166,2)</f>
        <v>1.06</v>
      </c>
      <c r="V166" s="156"/>
      <c r="W166" s="156" t="s">
        <v>148</v>
      </c>
      <c r="X166" s="147"/>
      <c r="Y166" s="147"/>
      <c r="Z166" s="147"/>
      <c r="AA166" s="147"/>
      <c r="AB166" s="147"/>
      <c r="AC166" s="147"/>
      <c r="AD166" s="147"/>
      <c r="AE166" s="147"/>
      <c r="AF166" s="147" t="s">
        <v>149</v>
      </c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outlineLevel="1" x14ac:dyDescent="0.25">
      <c r="A167" s="154"/>
      <c r="B167" s="155"/>
      <c r="C167" s="255" t="s">
        <v>397</v>
      </c>
      <c r="D167" s="255"/>
      <c r="E167" s="255"/>
      <c r="F167" s="255"/>
      <c r="G167" s="255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47"/>
      <c r="Y167" s="147"/>
      <c r="Z167" s="147"/>
      <c r="AA167" s="147"/>
      <c r="AB167" s="147"/>
      <c r="AC167" s="147"/>
      <c r="AD167" s="147"/>
      <c r="AE167" s="147"/>
      <c r="AF167" s="147" t="s">
        <v>166</v>
      </c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outlineLevel="1" x14ac:dyDescent="0.25">
      <c r="A168" s="154"/>
      <c r="B168" s="155"/>
      <c r="C168" s="184" t="s">
        <v>398</v>
      </c>
      <c r="D168" s="157"/>
      <c r="E168" s="158">
        <v>0.5625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47"/>
      <c r="Y168" s="147"/>
      <c r="Z168" s="147"/>
      <c r="AA168" s="147"/>
      <c r="AB168" s="147"/>
      <c r="AC168" s="147"/>
      <c r="AD168" s="147"/>
      <c r="AE168" s="147"/>
      <c r="AF168" s="147" t="s">
        <v>153</v>
      </c>
      <c r="AG168" s="147">
        <v>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outlineLevel="1" x14ac:dyDescent="0.25">
      <c r="A169" s="166">
        <v>54</v>
      </c>
      <c r="B169" s="167" t="s">
        <v>399</v>
      </c>
      <c r="C169" s="183" t="s">
        <v>400</v>
      </c>
      <c r="D169" s="168" t="s">
        <v>145</v>
      </c>
      <c r="E169" s="169">
        <v>3.375</v>
      </c>
      <c r="F169" s="170">
        <v>0</v>
      </c>
      <c r="G169" s="171">
        <f>ROUND(E169*F169,2)</f>
        <v>0</v>
      </c>
      <c r="H169" s="170">
        <v>819.73</v>
      </c>
      <c r="I169" s="171">
        <f>ROUND(E169*H169,2)</f>
        <v>2766.59</v>
      </c>
      <c r="J169" s="170">
        <v>340.27</v>
      </c>
      <c r="K169" s="171">
        <f>ROUND(E169*J169,2)</f>
        <v>1148.4100000000001</v>
      </c>
      <c r="L169" s="171">
        <v>21</v>
      </c>
      <c r="M169" s="171">
        <f>G169*(1+L169/100)</f>
        <v>0</v>
      </c>
      <c r="N169" s="171">
        <v>1.665</v>
      </c>
      <c r="O169" s="171">
        <f>ROUND(E169*N169,2)</f>
        <v>5.62</v>
      </c>
      <c r="P169" s="171">
        <v>0</v>
      </c>
      <c r="Q169" s="171">
        <f>ROUND(E169*P169,2)</f>
        <v>0</v>
      </c>
      <c r="R169" s="171" t="s">
        <v>282</v>
      </c>
      <c r="S169" s="172" t="s">
        <v>147</v>
      </c>
      <c r="T169" s="156">
        <v>0.92</v>
      </c>
      <c r="U169" s="156">
        <f>ROUND(E169*T169,2)</f>
        <v>3.11</v>
      </c>
      <c r="V169" s="156"/>
      <c r="W169" s="156" t="s">
        <v>148</v>
      </c>
      <c r="X169" s="147"/>
      <c r="Y169" s="147"/>
      <c r="Z169" s="147"/>
      <c r="AA169" s="147"/>
      <c r="AB169" s="147"/>
      <c r="AC169" s="147"/>
      <c r="AD169" s="147"/>
      <c r="AE169" s="147"/>
      <c r="AF169" s="147" t="s">
        <v>149</v>
      </c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outlineLevel="1" x14ac:dyDescent="0.25">
      <c r="A170" s="154"/>
      <c r="B170" s="155"/>
      <c r="C170" s="253" t="s">
        <v>401</v>
      </c>
      <c r="D170" s="253"/>
      <c r="E170" s="253"/>
      <c r="F170" s="253"/>
      <c r="G170" s="253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47"/>
      <c r="Y170" s="147"/>
      <c r="Z170" s="147"/>
      <c r="AA170" s="147"/>
      <c r="AB170" s="147"/>
      <c r="AC170" s="147"/>
      <c r="AD170" s="147"/>
      <c r="AE170" s="147"/>
      <c r="AF170" s="147" t="s">
        <v>151</v>
      </c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outlineLevel="1" x14ac:dyDescent="0.25">
      <c r="A171" s="154"/>
      <c r="B171" s="155"/>
      <c r="C171" s="184" t="s">
        <v>402</v>
      </c>
      <c r="D171" s="157"/>
      <c r="E171" s="158">
        <v>3.375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47"/>
      <c r="Y171" s="147"/>
      <c r="Z171" s="147"/>
      <c r="AA171" s="147"/>
      <c r="AB171" s="147"/>
      <c r="AC171" s="147"/>
      <c r="AD171" s="147"/>
      <c r="AE171" s="147"/>
      <c r="AF171" s="147" t="s">
        <v>153</v>
      </c>
      <c r="AG171" s="147">
        <v>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outlineLevel="1" x14ac:dyDescent="0.25">
      <c r="A172" s="166">
        <v>55</v>
      </c>
      <c r="B172" s="167" t="s">
        <v>403</v>
      </c>
      <c r="C172" s="183" t="s">
        <v>404</v>
      </c>
      <c r="D172" s="168" t="s">
        <v>335</v>
      </c>
      <c r="E172" s="169">
        <v>37.5</v>
      </c>
      <c r="F172" s="170">
        <v>0</v>
      </c>
      <c r="G172" s="171">
        <f>ROUND(E172*F172,2)</f>
        <v>0</v>
      </c>
      <c r="H172" s="170">
        <v>0</v>
      </c>
      <c r="I172" s="171">
        <f>ROUND(E172*H172,2)</f>
        <v>0</v>
      </c>
      <c r="J172" s="170">
        <v>18.100000000000001</v>
      </c>
      <c r="K172" s="171">
        <f>ROUND(E172*J172,2)</f>
        <v>678.75</v>
      </c>
      <c r="L172" s="171">
        <v>21</v>
      </c>
      <c r="M172" s="171">
        <f>G172*(1+L172/100)</f>
        <v>0</v>
      </c>
      <c r="N172" s="171">
        <v>0</v>
      </c>
      <c r="O172" s="171">
        <f>ROUND(E172*N172,2)</f>
        <v>0</v>
      </c>
      <c r="P172" s="171">
        <v>0</v>
      </c>
      <c r="Q172" s="171">
        <f>ROUND(E172*P172,2)</f>
        <v>0</v>
      </c>
      <c r="R172" s="171"/>
      <c r="S172" s="172" t="s">
        <v>147</v>
      </c>
      <c r="T172" s="156">
        <v>0.05</v>
      </c>
      <c r="U172" s="156">
        <f>ROUND(E172*T172,2)</f>
        <v>1.88</v>
      </c>
      <c r="V172" s="156"/>
      <c r="W172" s="156" t="s">
        <v>148</v>
      </c>
      <c r="X172" s="147"/>
      <c r="Y172" s="147"/>
      <c r="Z172" s="147"/>
      <c r="AA172" s="147"/>
      <c r="AB172" s="147"/>
      <c r="AC172" s="147"/>
      <c r="AD172" s="147"/>
      <c r="AE172" s="147"/>
      <c r="AF172" s="147" t="s">
        <v>149</v>
      </c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outlineLevel="1" x14ac:dyDescent="0.25">
      <c r="A173" s="154"/>
      <c r="B173" s="155"/>
      <c r="C173" s="184" t="s">
        <v>405</v>
      </c>
      <c r="D173" s="157"/>
      <c r="E173" s="158">
        <v>37.5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47"/>
      <c r="Y173" s="147"/>
      <c r="Z173" s="147"/>
      <c r="AA173" s="147"/>
      <c r="AB173" s="147"/>
      <c r="AC173" s="147"/>
      <c r="AD173" s="147"/>
      <c r="AE173" s="147"/>
      <c r="AF173" s="147" t="s">
        <v>153</v>
      </c>
      <c r="AG173" s="147">
        <v>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outlineLevel="1" x14ac:dyDescent="0.25">
      <c r="A174" s="166">
        <v>56</v>
      </c>
      <c r="B174" s="167" t="s">
        <v>406</v>
      </c>
      <c r="C174" s="183" t="s">
        <v>407</v>
      </c>
      <c r="D174" s="168" t="s">
        <v>335</v>
      </c>
      <c r="E174" s="169">
        <v>41.25</v>
      </c>
      <c r="F174" s="170">
        <v>0</v>
      </c>
      <c r="G174" s="171">
        <f>ROUND(E174*F174,2)</f>
        <v>0</v>
      </c>
      <c r="H174" s="170">
        <v>27.8</v>
      </c>
      <c r="I174" s="171">
        <f>ROUND(E174*H174,2)</f>
        <v>1146.75</v>
      </c>
      <c r="J174" s="170">
        <v>0</v>
      </c>
      <c r="K174" s="171">
        <f>ROUND(E174*J174,2)</f>
        <v>0</v>
      </c>
      <c r="L174" s="171">
        <v>21</v>
      </c>
      <c r="M174" s="171">
        <f>G174*(1+L174/100)</f>
        <v>0</v>
      </c>
      <c r="N174" s="171">
        <v>2.2000000000000001E-4</v>
      </c>
      <c r="O174" s="171">
        <f>ROUND(E174*N174,2)</f>
        <v>0.01</v>
      </c>
      <c r="P174" s="171">
        <v>0</v>
      </c>
      <c r="Q174" s="171">
        <f>ROUND(E174*P174,2)</f>
        <v>0</v>
      </c>
      <c r="R174" s="171" t="s">
        <v>169</v>
      </c>
      <c r="S174" s="172" t="s">
        <v>147</v>
      </c>
      <c r="T174" s="156">
        <v>0</v>
      </c>
      <c r="U174" s="156">
        <f>ROUND(E174*T174,2)</f>
        <v>0</v>
      </c>
      <c r="V174" s="156"/>
      <c r="W174" s="156" t="s">
        <v>170</v>
      </c>
      <c r="X174" s="147"/>
      <c r="Y174" s="147"/>
      <c r="Z174" s="147"/>
      <c r="AA174" s="147"/>
      <c r="AB174" s="147"/>
      <c r="AC174" s="147"/>
      <c r="AD174" s="147"/>
      <c r="AE174" s="147"/>
      <c r="AF174" s="147" t="s">
        <v>171</v>
      </c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outlineLevel="1" x14ac:dyDescent="0.25">
      <c r="A175" s="154"/>
      <c r="B175" s="155"/>
      <c r="C175" s="184" t="s">
        <v>408</v>
      </c>
      <c r="D175" s="157"/>
      <c r="E175" s="158">
        <v>41.25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47"/>
      <c r="Y175" s="147"/>
      <c r="Z175" s="147"/>
      <c r="AA175" s="147"/>
      <c r="AB175" s="147"/>
      <c r="AC175" s="147"/>
      <c r="AD175" s="147"/>
      <c r="AE175" s="147"/>
      <c r="AF175" s="147" t="s">
        <v>153</v>
      </c>
      <c r="AG175" s="147">
        <v>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20.399999999999999" outlineLevel="1" x14ac:dyDescent="0.25">
      <c r="A176" s="166">
        <v>57</v>
      </c>
      <c r="B176" s="167" t="s">
        <v>293</v>
      </c>
      <c r="C176" s="183" t="s">
        <v>294</v>
      </c>
      <c r="D176" s="168" t="s">
        <v>158</v>
      </c>
      <c r="E176" s="169">
        <v>49.5</v>
      </c>
      <c r="F176" s="170">
        <v>0</v>
      </c>
      <c r="G176" s="171">
        <f>ROUND(E176*F176,2)</f>
        <v>0</v>
      </c>
      <c r="H176" s="170">
        <v>37.6</v>
      </c>
      <c r="I176" s="171">
        <f>ROUND(E176*H176,2)</f>
        <v>1861.2</v>
      </c>
      <c r="J176" s="170">
        <v>0</v>
      </c>
      <c r="K176" s="171">
        <f>ROUND(E176*J176,2)</f>
        <v>0</v>
      </c>
      <c r="L176" s="171">
        <v>21</v>
      </c>
      <c r="M176" s="171">
        <f>G176*(1+L176/100)</f>
        <v>0</v>
      </c>
      <c r="N176" s="171">
        <v>2.9999999999999997E-4</v>
      </c>
      <c r="O176" s="171">
        <f>ROUND(E176*N176,2)</f>
        <v>0.01</v>
      </c>
      <c r="P176" s="171">
        <v>0</v>
      </c>
      <c r="Q176" s="171">
        <f>ROUND(E176*P176,2)</f>
        <v>0</v>
      </c>
      <c r="R176" s="171" t="s">
        <v>169</v>
      </c>
      <c r="S176" s="172" t="s">
        <v>147</v>
      </c>
      <c r="T176" s="156">
        <v>0</v>
      </c>
      <c r="U176" s="156">
        <f>ROUND(E176*T176,2)</f>
        <v>0</v>
      </c>
      <c r="V176" s="156"/>
      <c r="W176" s="156" t="s">
        <v>170</v>
      </c>
      <c r="X176" s="147"/>
      <c r="Y176" s="147"/>
      <c r="Z176" s="147"/>
      <c r="AA176" s="147"/>
      <c r="AB176" s="147"/>
      <c r="AC176" s="147"/>
      <c r="AD176" s="147"/>
      <c r="AE176" s="147"/>
      <c r="AF176" s="147" t="s">
        <v>171</v>
      </c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outlineLevel="1" x14ac:dyDescent="0.25">
      <c r="A177" s="154"/>
      <c r="B177" s="155"/>
      <c r="C177" s="184" t="s">
        <v>409</v>
      </c>
      <c r="D177" s="157"/>
      <c r="E177" s="158">
        <v>49.5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47"/>
      <c r="Y177" s="147"/>
      <c r="Z177" s="147"/>
      <c r="AA177" s="147"/>
      <c r="AB177" s="147"/>
      <c r="AC177" s="147"/>
      <c r="AD177" s="147"/>
      <c r="AE177" s="147"/>
      <c r="AF177" s="147" t="s">
        <v>153</v>
      </c>
      <c r="AG177" s="147">
        <v>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x14ac:dyDescent="0.25">
      <c r="A178" s="160" t="s">
        <v>141</v>
      </c>
      <c r="B178" s="161" t="s">
        <v>87</v>
      </c>
      <c r="C178" s="182" t="s">
        <v>88</v>
      </c>
      <c r="D178" s="162"/>
      <c r="E178" s="163"/>
      <c r="F178" s="164"/>
      <c r="G178" s="164">
        <f>SUMIF(AF179:AF187,"&lt;&gt;NOR",G179:G187)</f>
        <v>0</v>
      </c>
      <c r="H178" s="164"/>
      <c r="I178" s="164">
        <f>SUM(I179:I187)</f>
        <v>0</v>
      </c>
      <c r="J178" s="164"/>
      <c r="K178" s="164">
        <f>SUM(K179:K187)</f>
        <v>6245.87</v>
      </c>
      <c r="L178" s="164"/>
      <c r="M178" s="164">
        <f>SUM(M179:M187)</f>
        <v>0</v>
      </c>
      <c r="N178" s="164"/>
      <c r="O178" s="164">
        <f>SUM(O179:O187)</f>
        <v>0</v>
      </c>
      <c r="P178" s="164"/>
      <c r="Q178" s="164">
        <f>SUM(Q179:Q187)</f>
        <v>4.8899999999999997</v>
      </c>
      <c r="R178" s="164"/>
      <c r="S178" s="165"/>
      <c r="T178" s="159"/>
      <c r="U178" s="159">
        <f>SUM(U179:U187)</f>
        <v>15.91</v>
      </c>
      <c r="V178" s="159"/>
      <c r="W178" s="159"/>
      <c r="AF178" t="s">
        <v>142</v>
      </c>
    </row>
    <row r="179" spans="1:59" outlineLevel="1" x14ac:dyDescent="0.25">
      <c r="A179" s="166">
        <v>58</v>
      </c>
      <c r="B179" s="167" t="s">
        <v>410</v>
      </c>
      <c r="C179" s="183" t="s">
        <v>411</v>
      </c>
      <c r="D179" s="168" t="s">
        <v>158</v>
      </c>
      <c r="E179" s="169">
        <v>30.996400000000001</v>
      </c>
      <c r="F179" s="170">
        <v>0</v>
      </c>
      <c r="G179" s="171">
        <f>ROUND(E179*F179,2)</f>
        <v>0</v>
      </c>
      <c r="H179" s="170">
        <v>0</v>
      </c>
      <c r="I179" s="171">
        <f>ROUND(E179*H179,2)</f>
        <v>0</v>
      </c>
      <c r="J179" s="170">
        <v>23.1</v>
      </c>
      <c r="K179" s="171">
        <f>ROUND(E179*J179,2)</f>
        <v>716.02</v>
      </c>
      <c r="L179" s="171">
        <v>21</v>
      </c>
      <c r="M179" s="171">
        <f>G179*(1+L179/100)</f>
        <v>0</v>
      </c>
      <c r="N179" s="171">
        <v>0</v>
      </c>
      <c r="O179" s="171">
        <f>ROUND(E179*N179,2)</f>
        <v>0</v>
      </c>
      <c r="P179" s="171">
        <v>1.5299999999999999E-2</v>
      </c>
      <c r="Q179" s="171">
        <f>ROUND(E179*P179,2)</f>
        <v>0.47</v>
      </c>
      <c r="R179" s="171" t="s">
        <v>412</v>
      </c>
      <c r="S179" s="172" t="s">
        <v>147</v>
      </c>
      <c r="T179" s="156">
        <v>6.93E-2</v>
      </c>
      <c r="U179" s="156">
        <f>ROUND(E179*T179,2)</f>
        <v>2.15</v>
      </c>
      <c r="V179" s="156"/>
      <c r="W179" s="156" t="s">
        <v>148</v>
      </c>
      <c r="X179" s="147"/>
      <c r="Y179" s="147"/>
      <c r="Z179" s="147"/>
      <c r="AA179" s="147"/>
      <c r="AB179" s="147"/>
      <c r="AC179" s="147"/>
      <c r="AD179" s="147"/>
      <c r="AE179" s="147"/>
      <c r="AF179" s="147" t="s">
        <v>149</v>
      </c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30.6" outlineLevel="1" x14ac:dyDescent="0.25">
      <c r="A180" s="154"/>
      <c r="B180" s="155"/>
      <c r="C180" s="184" t="s">
        <v>389</v>
      </c>
      <c r="D180" s="157"/>
      <c r="E180" s="158">
        <v>30.996410000000001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47"/>
      <c r="Y180" s="147"/>
      <c r="Z180" s="147"/>
      <c r="AA180" s="147"/>
      <c r="AB180" s="147"/>
      <c r="AC180" s="147"/>
      <c r="AD180" s="147"/>
      <c r="AE180" s="147"/>
      <c r="AF180" s="147" t="s">
        <v>153</v>
      </c>
      <c r="AG180" s="147">
        <v>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outlineLevel="1" x14ac:dyDescent="0.25">
      <c r="A181" s="166">
        <v>59</v>
      </c>
      <c r="B181" s="167" t="s">
        <v>413</v>
      </c>
      <c r="C181" s="183" t="s">
        <v>414</v>
      </c>
      <c r="D181" s="168" t="s">
        <v>158</v>
      </c>
      <c r="E181" s="169">
        <v>30.996400000000001</v>
      </c>
      <c r="F181" s="170">
        <v>0</v>
      </c>
      <c r="G181" s="171">
        <f>ROUND(E181*F181,2)</f>
        <v>0</v>
      </c>
      <c r="H181" s="170">
        <v>0</v>
      </c>
      <c r="I181" s="171">
        <f>ROUND(E181*H181,2)</f>
        <v>0</v>
      </c>
      <c r="J181" s="170">
        <v>75.099999999999994</v>
      </c>
      <c r="K181" s="171">
        <f>ROUND(E181*J181,2)</f>
        <v>2327.83</v>
      </c>
      <c r="L181" s="171">
        <v>21</v>
      </c>
      <c r="M181" s="171">
        <f>G181*(1+L181/100)</f>
        <v>0</v>
      </c>
      <c r="N181" s="171">
        <v>0</v>
      </c>
      <c r="O181" s="171">
        <f>ROUND(E181*N181,2)</f>
        <v>0</v>
      </c>
      <c r="P181" s="171">
        <v>7.0000000000000007E-2</v>
      </c>
      <c r="Q181" s="171">
        <f>ROUND(E181*P181,2)</f>
        <v>2.17</v>
      </c>
      <c r="R181" s="171" t="s">
        <v>412</v>
      </c>
      <c r="S181" s="172" t="s">
        <v>147</v>
      </c>
      <c r="T181" s="156">
        <v>0.15</v>
      </c>
      <c r="U181" s="156">
        <f>ROUND(E181*T181,2)</f>
        <v>4.6500000000000004</v>
      </c>
      <c r="V181" s="156"/>
      <c r="W181" s="156" t="s">
        <v>148</v>
      </c>
      <c r="X181" s="147"/>
      <c r="Y181" s="147"/>
      <c r="Z181" s="147"/>
      <c r="AA181" s="147"/>
      <c r="AB181" s="147"/>
      <c r="AC181" s="147"/>
      <c r="AD181" s="147"/>
      <c r="AE181" s="147"/>
      <c r="AF181" s="147" t="s">
        <v>149</v>
      </c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outlineLevel="1" x14ac:dyDescent="0.25">
      <c r="A182" s="154"/>
      <c r="B182" s="155"/>
      <c r="C182" s="253" t="s">
        <v>415</v>
      </c>
      <c r="D182" s="253"/>
      <c r="E182" s="253"/>
      <c r="F182" s="253"/>
      <c r="G182" s="253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47"/>
      <c r="Y182" s="147"/>
      <c r="Z182" s="147"/>
      <c r="AA182" s="147"/>
      <c r="AB182" s="147"/>
      <c r="AC182" s="147"/>
      <c r="AD182" s="147"/>
      <c r="AE182" s="147"/>
      <c r="AF182" s="147" t="s">
        <v>151</v>
      </c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30.6" outlineLevel="1" x14ac:dyDescent="0.25">
      <c r="A183" s="154"/>
      <c r="B183" s="155"/>
      <c r="C183" s="184" t="s">
        <v>389</v>
      </c>
      <c r="D183" s="157"/>
      <c r="E183" s="158">
        <v>30.996410000000001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47"/>
      <c r="Y183" s="147"/>
      <c r="Z183" s="147"/>
      <c r="AA183" s="147"/>
      <c r="AB183" s="147"/>
      <c r="AC183" s="147"/>
      <c r="AD183" s="147"/>
      <c r="AE183" s="147"/>
      <c r="AF183" s="147" t="s">
        <v>153</v>
      </c>
      <c r="AG183" s="147">
        <v>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30.6" outlineLevel="1" x14ac:dyDescent="0.25">
      <c r="A184" s="166">
        <v>60</v>
      </c>
      <c r="B184" s="167" t="s">
        <v>416</v>
      </c>
      <c r="C184" s="183" t="s">
        <v>417</v>
      </c>
      <c r="D184" s="168" t="s">
        <v>158</v>
      </c>
      <c r="E184" s="169">
        <v>11.367599999999999</v>
      </c>
      <c r="F184" s="170">
        <v>0</v>
      </c>
      <c r="G184" s="171">
        <f>ROUND(E184*F184,2)</f>
        <v>0</v>
      </c>
      <c r="H184" s="170">
        <v>0</v>
      </c>
      <c r="I184" s="171">
        <f>ROUND(E184*H184,2)</f>
        <v>0</v>
      </c>
      <c r="J184" s="170">
        <v>64.8</v>
      </c>
      <c r="K184" s="171">
        <f>ROUND(E184*J184,2)</f>
        <v>736.62</v>
      </c>
      <c r="L184" s="171">
        <v>21</v>
      </c>
      <c r="M184" s="171">
        <f>G184*(1+L184/100)</f>
        <v>0</v>
      </c>
      <c r="N184" s="171">
        <v>0</v>
      </c>
      <c r="O184" s="171">
        <f>ROUND(E184*N184,2)</f>
        <v>0</v>
      </c>
      <c r="P184" s="171">
        <v>5.8999999999999997E-2</v>
      </c>
      <c r="Q184" s="171">
        <f>ROUND(E184*P184,2)</f>
        <v>0.67</v>
      </c>
      <c r="R184" s="171" t="s">
        <v>412</v>
      </c>
      <c r="S184" s="172" t="s">
        <v>147</v>
      </c>
      <c r="T184" s="156">
        <v>0.2</v>
      </c>
      <c r="U184" s="156">
        <f>ROUND(E184*T184,2)</f>
        <v>2.27</v>
      </c>
      <c r="V184" s="156"/>
      <c r="W184" s="156" t="s">
        <v>148</v>
      </c>
      <c r="X184" s="147"/>
      <c r="Y184" s="147"/>
      <c r="Z184" s="147"/>
      <c r="AA184" s="147"/>
      <c r="AB184" s="147"/>
      <c r="AC184" s="147"/>
      <c r="AD184" s="147"/>
      <c r="AE184" s="147"/>
      <c r="AF184" s="147" t="s">
        <v>149</v>
      </c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outlineLevel="1" x14ac:dyDescent="0.25">
      <c r="A185" s="154"/>
      <c r="B185" s="155"/>
      <c r="C185" s="184" t="s">
        <v>390</v>
      </c>
      <c r="D185" s="157"/>
      <c r="E185" s="158">
        <v>11.367599999999999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47"/>
      <c r="Y185" s="147"/>
      <c r="Z185" s="147"/>
      <c r="AA185" s="147"/>
      <c r="AB185" s="147"/>
      <c r="AC185" s="147"/>
      <c r="AD185" s="147"/>
      <c r="AE185" s="147"/>
      <c r="AF185" s="147" t="s">
        <v>153</v>
      </c>
      <c r="AG185" s="147">
        <v>0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outlineLevel="1" x14ac:dyDescent="0.25">
      <c r="A186" s="166">
        <v>61</v>
      </c>
      <c r="B186" s="167" t="s">
        <v>418</v>
      </c>
      <c r="C186" s="183" t="s">
        <v>419</v>
      </c>
      <c r="D186" s="168" t="s">
        <v>158</v>
      </c>
      <c r="E186" s="169">
        <v>2.1</v>
      </c>
      <c r="F186" s="170">
        <v>0</v>
      </c>
      <c r="G186" s="171">
        <f>ROUND(E186*F186,2)</f>
        <v>0</v>
      </c>
      <c r="H186" s="170">
        <v>0</v>
      </c>
      <c r="I186" s="171">
        <f>ROUND(E186*H186,2)</f>
        <v>0</v>
      </c>
      <c r="J186" s="170">
        <v>1174</v>
      </c>
      <c r="K186" s="171">
        <f>ROUND(E186*J186,2)</f>
        <v>2465.4</v>
      </c>
      <c r="L186" s="171">
        <v>21</v>
      </c>
      <c r="M186" s="171">
        <f>G186*(1+L186/100)</f>
        <v>0</v>
      </c>
      <c r="N186" s="171">
        <v>3.4000000000000002E-4</v>
      </c>
      <c r="O186" s="171">
        <f>ROUND(E186*N186,2)</f>
        <v>0</v>
      </c>
      <c r="P186" s="171">
        <v>0.75</v>
      </c>
      <c r="Q186" s="171">
        <f>ROUND(E186*P186,2)</f>
        <v>1.58</v>
      </c>
      <c r="R186" s="171"/>
      <c r="S186" s="172" t="s">
        <v>147</v>
      </c>
      <c r="T186" s="156">
        <v>3.2549999999999999</v>
      </c>
      <c r="U186" s="156">
        <f>ROUND(E186*T186,2)</f>
        <v>6.84</v>
      </c>
      <c r="V186" s="156"/>
      <c r="W186" s="156" t="s">
        <v>148</v>
      </c>
      <c r="X186" s="147"/>
      <c r="Y186" s="147"/>
      <c r="Z186" s="147"/>
      <c r="AA186" s="147"/>
      <c r="AB186" s="147"/>
      <c r="AC186" s="147"/>
      <c r="AD186" s="147"/>
      <c r="AE186" s="147"/>
      <c r="AF186" s="147" t="s">
        <v>149</v>
      </c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outlineLevel="1" x14ac:dyDescent="0.25">
      <c r="A187" s="154"/>
      <c r="B187" s="155"/>
      <c r="C187" s="184" t="s">
        <v>420</v>
      </c>
      <c r="D187" s="157"/>
      <c r="E187" s="158">
        <v>2.1</v>
      </c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47"/>
      <c r="Y187" s="147"/>
      <c r="Z187" s="147"/>
      <c r="AA187" s="147"/>
      <c r="AB187" s="147"/>
      <c r="AC187" s="147"/>
      <c r="AD187" s="147"/>
      <c r="AE187" s="147"/>
      <c r="AF187" s="147" t="s">
        <v>153</v>
      </c>
      <c r="AG187" s="147">
        <v>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x14ac:dyDescent="0.25">
      <c r="A188" s="160" t="s">
        <v>141</v>
      </c>
      <c r="B188" s="161" t="s">
        <v>89</v>
      </c>
      <c r="C188" s="182" t="s">
        <v>90</v>
      </c>
      <c r="D188" s="162"/>
      <c r="E188" s="163"/>
      <c r="F188" s="164"/>
      <c r="G188" s="164">
        <f>SUMIF(AF189:AF190,"&lt;&gt;NOR",G189:G190)</f>
        <v>0</v>
      </c>
      <c r="H188" s="164"/>
      <c r="I188" s="164">
        <f>SUM(I189:I190)</f>
        <v>0</v>
      </c>
      <c r="J188" s="164"/>
      <c r="K188" s="164">
        <f>SUM(K189:K190)</f>
        <v>186446.91</v>
      </c>
      <c r="L188" s="164"/>
      <c r="M188" s="164">
        <f>SUM(M189:M190)</f>
        <v>0</v>
      </c>
      <c r="N188" s="164"/>
      <c r="O188" s="164">
        <f>SUM(O189:O190)</f>
        <v>0</v>
      </c>
      <c r="P188" s="164"/>
      <c r="Q188" s="164">
        <f>SUM(Q189:Q190)</f>
        <v>0</v>
      </c>
      <c r="R188" s="164"/>
      <c r="S188" s="165"/>
      <c r="T188" s="159"/>
      <c r="U188" s="159">
        <f>SUM(U189:U190)</f>
        <v>90.87</v>
      </c>
      <c r="V188" s="159"/>
      <c r="W188" s="159"/>
      <c r="AF188" t="s">
        <v>142</v>
      </c>
    </row>
    <row r="189" spans="1:59" outlineLevel="1" x14ac:dyDescent="0.25">
      <c r="A189" s="166">
        <v>62</v>
      </c>
      <c r="B189" s="167" t="s">
        <v>421</v>
      </c>
      <c r="C189" s="183" t="s">
        <v>422</v>
      </c>
      <c r="D189" s="168" t="s">
        <v>265</v>
      </c>
      <c r="E189" s="169">
        <v>1044.52053</v>
      </c>
      <c r="F189" s="170">
        <v>0</v>
      </c>
      <c r="G189" s="171">
        <f>ROUND(E189*F189,2)</f>
        <v>0</v>
      </c>
      <c r="H189" s="170">
        <v>0</v>
      </c>
      <c r="I189" s="171">
        <f>ROUND(E189*H189,2)</f>
        <v>0</v>
      </c>
      <c r="J189" s="170">
        <v>178.5</v>
      </c>
      <c r="K189" s="171">
        <f>ROUND(E189*J189,2)</f>
        <v>186446.91</v>
      </c>
      <c r="L189" s="171">
        <v>21</v>
      </c>
      <c r="M189" s="171">
        <f>G189*(1+L189/100)</f>
        <v>0</v>
      </c>
      <c r="N189" s="171">
        <v>0</v>
      </c>
      <c r="O189" s="171">
        <f>ROUND(E189*N189,2)</f>
        <v>0</v>
      </c>
      <c r="P189" s="171">
        <v>0</v>
      </c>
      <c r="Q189" s="171">
        <f>ROUND(E189*P189,2)</f>
        <v>0</v>
      </c>
      <c r="R189" s="171" t="s">
        <v>423</v>
      </c>
      <c r="S189" s="172" t="s">
        <v>147</v>
      </c>
      <c r="T189" s="156">
        <v>8.6999999999999994E-2</v>
      </c>
      <c r="U189" s="156">
        <f>ROUND(E189*T189,2)</f>
        <v>90.87</v>
      </c>
      <c r="V189" s="156"/>
      <c r="W189" s="156" t="s">
        <v>424</v>
      </c>
      <c r="X189" s="147"/>
      <c r="Y189" s="147"/>
      <c r="Z189" s="147"/>
      <c r="AA189" s="147"/>
      <c r="AB189" s="147"/>
      <c r="AC189" s="147"/>
      <c r="AD189" s="147"/>
      <c r="AE189" s="147"/>
      <c r="AF189" s="147" t="s">
        <v>425</v>
      </c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outlineLevel="1" x14ac:dyDescent="0.25">
      <c r="A190" s="154"/>
      <c r="B190" s="155"/>
      <c r="C190" s="253" t="s">
        <v>426</v>
      </c>
      <c r="D190" s="253"/>
      <c r="E190" s="253"/>
      <c r="F190" s="253"/>
      <c r="G190" s="253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47"/>
      <c r="Y190" s="147"/>
      <c r="Z190" s="147"/>
      <c r="AA190" s="147"/>
      <c r="AB190" s="147"/>
      <c r="AC190" s="147"/>
      <c r="AD190" s="147"/>
      <c r="AE190" s="147"/>
      <c r="AF190" s="147" t="s">
        <v>151</v>
      </c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x14ac:dyDescent="0.25">
      <c r="A191" s="160" t="s">
        <v>141</v>
      </c>
      <c r="B191" s="161" t="s">
        <v>91</v>
      </c>
      <c r="C191" s="182" t="s">
        <v>92</v>
      </c>
      <c r="D191" s="162"/>
      <c r="E191" s="163"/>
      <c r="F191" s="164"/>
      <c r="G191" s="164">
        <f>SUMIF(AF192:AF197,"&lt;&gt;NOR",G192:G197)</f>
        <v>0</v>
      </c>
      <c r="H191" s="164"/>
      <c r="I191" s="164">
        <f>SUM(I192:I197)</f>
        <v>8555.9</v>
      </c>
      <c r="J191" s="164"/>
      <c r="K191" s="164">
        <f>SUM(K192:K197)</f>
        <v>7368.15</v>
      </c>
      <c r="L191" s="164"/>
      <c r="M191" s="164">
        <f>SUM(M192:M197)</f>
        <v>0</v>
      </c>
      <c r="N191" s="164"/>
      <c r="O191" s="164">
        <f>SUM(O192:O197)</f>
        <v>0.05</v>
      </c>
      <c r="P191" s="164"/>
      <c r="Q191" s="164">
        <f>SUM(Q192:Q197)</f>
        <v>0</v>
      </c>
      <c r="R191" s="164"/>
      <c r="S191" s="165"/>
      <c r="T191" s="159"/>
      <c r="U191" s="159">
        <f>SUM(U192:U197)</f>
        <v>15.35</v>
      </c>
      <c r="V191" s="159"/>
      <c r="W191" s="159"/>
      <c r="AF191" t="s">
        <v>142</v>
      </c>
    </row>
    <row r="192" spans="1:59" ht="20.399999999999999" outlineLevel="1" x14ac:dyDescent="0.25">
      <c r="A192" s="166">
        <v>63</v>
      </c>
      <c r="B192" s="167" t="s">
        <v>427</v>
      </c>
      <c r="C192" s="183" t="s">
        <v>851</v>
      </c>
      <c r="D192" s="168" t="s">
        <v>158</v>
      </c>
      <c r="E192" s="169">
        <v>50.81</v>
      </c>
      <c r="F192" s="170">
        <v>0</v>
      </c>
      <c r="G192" s="171">
        <f>ROUND(E192*F192,2)</f>
        <v>0</v>
      </c>
      <c r="H192" s="170">
        <v>29.7</v>
      </c>
      <c r="I192" s="171">
        <f>ROUND(E192*H192,2)</f>
        <v>1509.06</v>
      </c>
      <c r="J192" s="170">
        <v>76.8</v>
      </c>
      <c r="K192" s="171">
        <f>ROUND(E192*J192,2)</f>
        <v>3902.21</v>
      </c>
      <c r="L192" s="171">
        <v>21</v>
      </c>
      <c r="M192" s="171">
        <f>G192*(1+L192/100)</f>
        <v>0</v>
      </c>
      <c r="N192" s="171">
        <v>2.3000000000000001E-4</v>
      </c>
      <c r="O192" s="171">
        <f>ROUND(E192*N192,2)</f>
        <v>0.01</v>
      </c>
      <c r="P192" s="171">
        <v>0</v>
      </c>
      <c r="Q192" s="171">
        <f>ROUND(E192*P192,2)</f>
        <v>0</v>
      </c>
      <c r="R192" s="171" t="s">
        <v>428</v>
      </c>
      <c r="S192" s="172" t="s">
        <v>147</v>
      </c>
      <c r="T192" s="156">
        <v>0.16</v>
      </c>
      <c r="U192" s="156">
        <f>ROUND(E192*T192,2)</f>
        <v>8.1300000000000008</v>
      </c>
      <c r="V192" s="156"/>
      <c r="W192" s="156" t="s">
        <v>148</v>
      </c>
      <c r="X192" s="147"/>
      <c r="Y192" s="147"/>
      <c r="Z192" s="147"/>
      <c r="AA192" s="147"/>
      <c r="AB192" s="147"/>
      <c r="AC192" s="147"/>
      <c r="AD192" s="147"/>
      <c r="AE192" s="147"/>
      <c r="AF192" s="147" t="s">
        <v>149</v>
      </c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outlineLevel="1" x14ac:dyDescent="0.25">
      <c r="A193" s="154"/>
      <c r="B193" s="155"/>
      <c r="C193" s="184" t="s">
        <v>429</v>
      </c>
      <c r="D193" s="157"/>
      <c r="E193" s="158">
        <v>50.81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47"/>
      <c r="Y193" s="147"/>
      <c r="Z193" s="147"/>
      <c r="AA193" s="147"/>
      <c r="AB193" s="147"/>
      <c r="AC193" s="147"/>
      <c r="AD193" s="147"/>
      <c r="AE193" s="147"/>
      <c r="AF193" s="147" t="s">
        <v>153</v>
      </c>
      <c r="AG193" s="147">
        <v>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20.399999999999999" outlineLevel="1" x14ac:dyDescent="0.25">
      <c r="A194" s="166">
        <v>64</v>
      </c>
      <c r="B194" s="167" t="s">
        <v>430</v>
      </c>
      <c r="C194" s="183" t="s">
        <v>852</v>
      </c>
      <c r="D194" s="168" t="s">
        <v>335</v>
      </c>
      <c r="E194" s="169">
        <v>71.44</v>
      </c>
      <c r="F194" s="170">
        <v>0</v>
      </c>
      <c r="G194" s="171">
        <f>ROUND(E194*F194,2)</f>
        <v>0</v>
      </c>
      <c r="H194" s="170">
        <v>98.64</v>
      </c>
      <c r="I194" s="171">
        <f>ROUND(E194*H194,2)</f>
        <v>7046.84</v>
      </c>
      <c r="J194" s="170">
        <v>47.86</v>
      </c>
      <c r="K194" s="171">
        <f>ROUND(E194*J194,2)</f>
        <v>3419.12</v>
      </c>
      <c r="L194" s="171">
        <v>21</v>
      </c>
      <c r="M194" s="171">
        <f>G194*(1+L194/100)</f>
        <v>0</v>
      </c>
      <c r="N194" s="171">
        <v>5.2999999999999998E-4</v>
      </c>
      <c r="O194" s="171">
        <f>ROUND(E194*N194,2)</f>
        <v>0.04</v>
      </c>
      <c r="P194" s="171">
        <v>0</v>
      </c>
      <c r="Q194" s="171">
        <f>ROUND(E194*P194,2)</f>
        <v>0</v>
      </c>
      <c r="R194" s="171" t="s">
        <v>428</v>
      </c>
      <c r="S194" s="172" t="s">
        <v>147</v>
      </c>
      <c r="T194" s="156">
        <v>0.1</v>
      </c>
      <c r="U194" s="156">
        <f>ROUND(E194*T194,2)</f>
        <v>7.14</v>
      </c>
      <c r="V194" s="156"/>
      <c r="W194" s="156" t="s">
        <v>148</v>
      </c>
      <c r="X194" s="147"/>
      <c r="Y194" s="147"/>
      <c r="Z194" s="147"/>
      <c r="AA194" s="147"/>
      <c r="AB194" s="147"/>
      <c r="AC194" s="147"/>
      <c r="AD194" s="147"/>
      <c r="AE194" s="147"/>
      <c r="AF194" s="147" t="s">
        <v>149</v>
      </c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outlineLevel="1" x14ac:dyDescent="0.25">
      <c r="A195" s="154"/>
      <c r="B195" s="155"/>
      <c r="C195" s="184" t="s">
        <v>431</v>
      </c>
      <c r="D195" s="157"/>
      <c r="E195" s="158">
        <v>71.44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47"/>
      <c r="Y195" s="147"/>
      <c r="Z195" s="147"/>
      <c r="AA195" s="147"/>
      <c r="AB195" s="147"/>
      <c r="AC195" s="147"/>
      <c r="AD195" s="147"/>
      <c r="AE195" s="147"/>
      <c r="AF195" s="147" t="s">
        <v>153</v>
      </c>
      <c r="AG195" s="147">
        <v>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outlineLevel="1" x14ac:dyDescent="0.25">
      <c r="A196" s="166">
        <v>65</v>
      </c>
      <c r="B196" s="167" t="s">
        <v>432</v>
      </c>
      <c r="C196" s="183" t="s">
        <v>433</v>
      </c>
      <c r="D196" s="168" t="s">
        <v>265</v>
      </c>
      <c r="E196" s="169">
        <v>4.9549999999999997E-2</v>
      </c>
      <c r="F196" s="170">
        <v>0</v>
      </c>
      <c r="G196" s="171">
        <f>ROUND(E196*F196,2)</f>
        <v>0</v>
      </c>
      <c r="H196" s="170">
        <v>0</v>
      </c>
      <c r="I196" s="171">
        <f>ROUND(E196*H196,2)</f>
        <v>0</v>
      </c>
      <c r="J196" s="170">
        <v>945</v>
      </c>
      <c r="K196" s="171">
        <f>ROUND(E196*J196,2)</f>
        <v>46.82</v>
      </c>
      <c r="L196" s="171">
        <v>21</v>
      </c>
      <c r="M196" s="171">
        <f>G196*(1+L196/100)</f>
        <v>0</v>
      </c>
      <c r="N196" s="171">
        <v>0</v>
      </c>
      <c r="O196" s="171">
        <f>ROUND(E196*N196,2)</f>
        <v>0</v>
      </c>
      <c r="P196" s="171">
        <v>0</v>
      </c>
      <c r="Q196" s="171">
        <f>ROUND(E196*P196,2)</f>
        <v>0</v>
      </c>
      <c r="R196" s="171" t="s">
        <v>428</v>
      </c>
      <c r="S196" s="172" t="s">
        <v>147</v>
      </c>
      <c r="T196" s="156">
        <v>1.5669999999999999</v>
      </c>
      <c r="U196" s="156">
        <f>ROUND(E196*T196,2)</f>
        <v>0.08</v>
      </c>
      <c r="V196" s="156"/>
      <c r="W196" s="156" t="s">
        <v>424</v>
      </c>
      <c r="X196" s="147"/>
      <c r="Y196" s="147"/>
      <c r="Z196" s="147"/>
      <c r="AA196" s="147"/>
      <c r="AB196" s="147"/>
      <c r="AC196" s="147"/>
      <c r="AD196" s="147"/>
      <c r="AE196" s="147"/>
      <c r="AF196" s="147" t="s">
        <v>425</v>
      </c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20.399999999999999" outlineLevel="1" x14ac:dyDescent="0.25">
      <c r="A197" s="154"/>
      <c r="B197" s="155"/>
      <c r="C197" s="253" t="s">
        <v>434</v>
      </c>
      <c r="D197" s="253"/>
      <c r="E197" s="253"/>
      <c r="F197" s="253"/>
      <c r="G197" s="253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47"/>
      <c r="Y197" s="147"/>
      <c r="Z197" s="147"/>
      <c r="AA197" s="147"/>
      <c r="AB197" s="147"/>
      <c r="AC197" s="147"/>
      <c r="AD197" s="147"/>
      <c r="AE197" s="147"/>
      <c r="AF197" s="147" t="s">
        <v>151</v>
      </c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x14ac:dyDescent="0.25">
      <c r="A198" s="160" t="s">
        <v>141</v>
      </c>
      <c r="B198" s="161" t="s">
        <v>95</v>
      </c>
      <c r="C198" s="182" t="s">
        <v>96</v>
      </c>
      <c r="D198" s="162"/>
      <c r="E198" s="163"/>
      <c r="F198" s="164"/>
      <c r="G198" s="164">
        <f>SUMIF(AF199:AF218,"&lt;&gt;NOR",G199:G218)</f>
        <v>0</v>
      </c>
      <c r="H198" s="164"/>
      <c r="I198" s="164">
        <f>SUM(I199:I218)</f>
        <v>155414.5</v>
      </c>
      <c r="J198" s="164"/>
      <c r="K198" s="164">
        <f>SUM(K199:K218)</f>
        <v>48915.469999999994</v>
      </c>
      <c r="L198" s="164"/>
      <c r="M198" s="164">
        <f>SUM(M199:M218)</f>
        <v>0</v>
      </c>
      <c r="N198" s="164"/>
      <c r="O198" s="164">
        <f>SUM(O199:O218)</f>
        <v>4.2200000000000006</v>
      </c>
      <c r="P198" s="164"/>
      <c r="Q198" s="164">
        <f>SUM(Q199:Q218)</f>
        <v>0</v>
      </c>
      <c r="R198" s="164"/>
      <c r="S198" s="165"/>
      <c r="T198" s="159"/>
      <c r="U198" s="159">
        <f>SUM(U199:U218)</f>
        <v>86.76</v>
      </c>
      <c r="V198" s="159"/>
      <c r="W198" s="159"/>
      <c r="AF198" t="s">
        <v>142</v>
      </c>
    </row>
    <row r="199" spans="1:59" ht="20.399999999999999" outlineLevel="1" x14ac:dyDescent="0.25">
      <c r="A199" s="166">
        <v>66</v>
      </c>
      <c r="B199" s="167" t="s">
        <v>435</v>
      </c>
      <c r="C199" s="183" t="s">
        <v>436</v>
      </c>
      <c r="D199" s="168" t="s">
        <v>158</v>
      </c>
      <c r="E199" s="169">
        <v>80.56</v>
      </c>
      <c r="F199" s="170">
        <v>0</v>
      </c>
      <c r="G199" s="171">
        <f>ROUND(E199*F199,2)</f>
        <v>0</v>
      </c>
      <c r="H199" s="170">
        <v>0</v>
      </c>
      <c r="I199" s="171">
        <f>ROUND(E199*H199,2)</f>
        <v>0</v>
      </c>
      <c r="J199" s="170">
        <v>176.5</v>
      </c>
      <c r="K199" s="171">
        <f>ROUND(E199*J199,2)</f>
        <v>14218.84</v>
      </c>
      <c r="L199" s="171">
        <v>21</v>
      </c>
      <c r="M199" s="171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1" t="s">
        <v>437</v>
      </c>
      <c r="S199" s="172" t="s">
        <v>147</v>
      </c>
      <c r="T199" s="156">
        <v>0.34100000000000003</v>
      </c>
      <c r="U199" s="156">
        <f>ROUND(E199*T199,2)</f>
        <v>27.47</v>
      </c>
      <c r="V199" s="156"/>
      <c r="W199" s="156" t="s">
        <v>148</v>
      </c>
      <c r="X199" s="147"/>
      <c r="Y199" s="147"/>
      <c r="Z199" s="147"/>
      <c r="AA199" s="147"/>
      <c r="AB199" s="147"/>
      <c r="AC199" s="147"/>
      <c r="AD199" s="147"/>
      <c r="AE199" s="147"/>
      <c r="AF199" s="147" t="s">
        <v>149</v>
      </c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outlineLevel="1" x14ac:dyDescent="0.25">
      <c r="A200" s="154"/>
      <c r="B200" s="155"/>
      <c r="C200" s="184" t="s">
        <v>438</v>
      </c>
      <c r="D200" s="157"/>
      <c r="E200" s="158">
        <v>17.920000000000002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47"/>
      <c r="Y200" s="147"/>
      <c r="Z200" s="147"/>
      <c r="AA200" s="147"/>
      <c r="AB200" s="147"/>
      <c r="AC200" s="147"/>
      <c r="AD200" s="147"/>
      <c r="AE200" s="147"/>
      <c r="AF200" s="147" t="s">
        <v>153</v>
      </c>
      <c r="AG200" s="147">
        <v>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outlineLevel="1" x14ac:dyDescent="0.25">
      <c r="A201" s="154"/>
      <c r="B201" s="155"/>
      <c r="C201" s="184" t="s">
        <v>439</v>
      </c>
      <c r="D201" s="157"/>
      <c r="E201" s="158">
        <v>55.92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47"/>
      <c r="Y201" s="147"/>
      <c r="Z201" s="147"/>
      <c r="AA201" s="147"/>
      <c r="AB201" s="147"/>
      <c r="AC201" s="147"/>
      <c r="AD201" s="147"/>
      <c r="AE201" s="147"/>
      <c r="AF201" s="147" t="s">
        <v>153</v>
      </c>
      <c r="AG201" s="147">
        <v>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outlineLevel="1" x14ac:dyDescent="0.25">
      <c r="A202" s="154"/>
      <c r="B202" s="155"/>
      <c r="C202" s="184" t="s">
        <v>440</v>
      </c>
      <c r="D202" s="157"/>
      <c r="E202" s="158">
        <v>6.72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47"/>
      <c r="Y202" s="147"/>
      <c r="Z202" s="147"/>
      <c r="AA202" s="147"/>
      <c r="AB202" s="147"/>
      <c r="AC202" s="147"/>
      <c r="AD202" s="147"/>
      <c r="AE202" s="147"/>
      <c r="AF202" s="147" t="s">
        <v>153</v>
      </c>
      <c r="AG202" s="147">
        <v>0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outlineLevel="1" x14ac:dyDescent="0.25">
      <c r="A203" s="166">
        <v>67</v>
      </c>
      <c r="B203" s="167" t="s">
        <v>441</v>
      </c>
      <c r="C203" s="183" t="s">
        <v>442</v>
      </c>
      <c r="D203" s="168" t="s">
        <v>145</v>
      </c>
      <c r="E203" s="169">
        <v>4.3407999999999998</v>
      </c>
      <c r="F203" s="170">
        <v>0</v>
      </c>
      <c r="G203" s="171">
        <f>ROUND(E203*F203,2)</f>
        <v>0</v>
      </c>
      <c r="H203" s="170">
        <v>192.5</v>
      </c>
      <c r="I203" s="171">
        <f>ROUND(E203*H203,2)</f>
        <v>835.6</v>
      </c>
      <c r="J203" s="170">
        <v>0</v>
      </c>
      <c r="K203" s="171">
        <f>ROUND(E203*J203,2)</f>
        <v>0</v>
      </c>
      <c r="L203" s="171">
        <v>21</v>
      </c>
      <c r="M203" s="171">
        <f>G203*(1+L203/100)</f>
        <v>0</v>
      </c>
      <c r="N203" s="171">
        <v>2.9499999999999999E-3</v>
      </c>
      <c r="O203" s="171">
        <f>ROUND(E203*N203,2)</f>
        <v>0.01</v>
      </c>
      <c r="P203" s="171">
        <v>0</v>
      </c>
      <c r="Q203" s="171">
        <f>ROUND(E203*P203,2)</f>
        <v>0</v>
      </c>
      <c r="R203" s="171" t="s">
        <v>437</v>
      </c>
      <c r="S203" s="172" t="s">
        <v>147</v>
      </c>
      <c r="T203" s="156">
        <v>0</v>
      </c>
      <c r="U203" s="156">
        <f>ROUND(E203*T203,2)</f>
        <v>0</v>
      </c>
      <c r="V203" s="156"/>
      <c r="W203" s="156" t="s">
        <v>148</v>
      </c>
      <c r="X203" s="147"/>
      <c r="Y203" s="147"/>
      <c r="Z203" s="147"/>
      <c r="AA203" s="147"/>
      <c r="AB203" s="147"/>
      <c r="AC203" s="147"/>
      <c r="AD203" s="147"/>
      <c r="AE203" s="147"/>
      <c r="AF203" s="147" t="s">
        <v>149</v>
      </c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outlineLevel="1" x14ac:dyDescent="0.25">
      <c r="A204" s="154"/>
      <c r="B204" s="155"/>
      <c r="C204" s="184" t="s">
        <v>443</v>
      </c>
      <c r="D204" s="157"/>
      <c r="E204" s="158">
        <v>0.71679999999999999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47"/>
      <c r="Y204" s="147"/>
      <c r="Z204" s="147"/>
      <c r="AA204" s="147"/>
      <c r="AB204" s="147"/>
      <c r="AC204" s="147"/>
      <c r="AD204" s="147"/>
      <c r="AE204" s="147"/>
      <c r="AF204" s="147" t="s">
        <v>153</v>
      </c>
      <c r="AG204" s="147">
        <v>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outlineLevel="1" x14ac:dyDescent="0.25">
      <c r="A205" s="154"/>
      <c r="B205" s="155"/>
      <c r="C205" s="184" t="s">
        <v>444</v>
      </c>
      <c r="D205" s="157"/>
      <c r="E205" s="158">
        <v>3.3552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47"/>
      <c r="Y205" s="147"/>
      <c r="Z205" s="147"/>
      <c r="AA205" s="147"/>
      <c r="AB205" s="147"/>
      <c r="AC205" s="147"/>
      <c r="AD205" s="147"/>
      <c r="AE205" s="147"/>
      <c r="AF205" s="147" t="s">
        <v>153</v>
      </c>
      <c r="AG205" s="147">
        <v>0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outlineLevel="1" x14ac:dyDescent="0.25">
      <c r="A206" s="154"/>
      <c r="B206" s="155"/>
      <c r="C206" s="184" t="s">
        <v>445</v>
      </c>
      <c r="D206" s="157"/>
      <c r="E206" s="158">
        <v>0.26879999999999998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47"/>
      <c r="Y206" s="147"/>
      <c r="Z206" s="147"/>
      <c r="AA206" s="147"/>
      <c r="AB206" s="147"/>
      <c r="AC206" s="147"/>
      <c r="AD206" s="147"/>
      <c r="AE206" s="147"/>
      <c r="AF206" s="147" t="s">
        <v>153</v>
      </c>
      <c r="AG206" s="147">
        <v>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20.399999999999999" outlineLevel="1" x14ac:dyDescent="0.25">
      <c r="A207" s="166">
        <v>68</v>
      </c>
      <c r="B207" s="167" t="s">
        <v>446</v>
      </c>
      <c r="C207" s="183" t="s">
        <v>447</v>
      </c>
      <c r="D207" s="168" t="s">
        <v>335</v>
      </c>
      <c r="E207" s="169">
        <v>104.84</v>
      </c>
      <c r="F207" s="170">
        <v>0</v>
      </c>
      <c r="G207" s="171">
        <f>ROUND(E207*F207,2)</f>
        <v>0</v>
      </c>
      <c r="H207" s="170">
        <v>6.85</v>
      </c>
      <c r="I207" s="171">
        <f>ROUND(E207*H207,2)</f>
        <v>718.15</v>
      </c>
      <c r="J207" s="170">
        <v>274.14999999999998</v>
      </c>
      <c r="K207" s="171">
        <f>ROUND(E207*J207,2)</f>
        <v>28741.89</v>
      </c>
      <c r="L207" s="171">
        <v>21</v>
      </c>
      <c r="M207" s="171">
        <f>G207*(1+L207/100)</f>
        <v>0</v>
      </c>
      <c r="N207" s="171">
        <v>2.5500000000000002E-3</v>
      </c>
      <c r="O207" s="171">
        <f>ROUND(E207*N207,2)</f>
        <v>0.27</v>
      </c>
      <c r="P207" s="171">
        <v>0</v>
      </c>
      <c r="Q207" s="171">
        <f>ROUND(E207*P207,2)</f>
        <v>0</v>
      </c>
      <c r="R207" s="171" t="s">
        <v>437</v>
      </c>
      <c r="S207" s="172" t="s">
        <v>147</v>
      </c>
      <c r="T207" s="156">
        <v>0.495</v>
      </c>
      <c r="U207" s="156">
        <f>ROUND(E207*T207,2)</f>
        <v>51.9</v>
      </c>
      <c r="V207" s="156"/>
      <c r="W207" s="156" t="s">
        <v>148</v>
      </c>
      <c r="X207" s="147"/>
      <c r="Y207" s="147"/>
      <c r="Z207" s="147"/>
      <c r="AA207" s="147"/>
      <c r="AB207" s="147"/>
      <c r="AC207" s="147"/>
      <c r="AD207" s="147"/>
      <c r="AE207" s="147"/>
      <c r="AF207" s="147" t="s">
        <v>149</v>
      </c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outlineLevel="1" x14ac:dyDescent="0.25">
      <c r="A208" s="154"/>
      <c r="B208" s="155"/>
      <c r="C208" s="253" t="s">
        <v>448</v>
      </c>
      <c r="D208" s="253"/>
      <c r="E208" s="253"/>
      <c r="F208" s="253"/>
      <c r="G208" s="253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47"/>
      <c r="Y208" s="147"/>
      <c r="Z208" s="147"/>
      <c r="AA208" s="147"/>
      <c r="AB208" s="147"/>
      <c r="AC208" s="147"/>
      <c r="AD208" s="147"/>
      <c r="AE208" s="147"/>
      <c r="AF208" s="147" t="s">
        <v>151</v>
      </c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outlineLevel="1" x14ac:dyDescent="0.25">
      <c r="A209" s="154"/>
      <c r="B209" s="155"/>
      <c r="C209" s="184" t="s">
        <v>449</v>
      </c>
      <c r="D209" s="157"/>
      <c r="E209" s="158">
        <v>104.84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47"/>
      <c r="Y209" s="147"/>
      <c r="Z209" s="147"/>
      <c r="AA209" s="147"/>
      <c r="AB209" s="147"/>
      <c r="AC209" s="147"/>
      <c r="AD209" s="147"/>
      <c r="AE209" s="147"/>
      <c r="AF209" s="147" t="s">
        <v>153</v>
      </c>
      <c r="AG209" s="147">
        <v>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outlineLevel="1" x14ac:dyDescent="0.25">
      <c r="A210" s="166">
        <v>69</v>
      </c>
      <c r="B210" s="167" t="s">
        <v>450</v>
      </c>
      <c r="C210" s="183" t="s">
        <v>451</v>
      </c>
      <c r="D210" s="168" t="s">
        <v>145</v>
      </c>
      <c r="E210" s="169">
        <v>1.0484</v>
      </c>
      <c r="F210" s="170">
        <v>0</v>
      </c>
      <c r="G210" s="171">
        <f>ROUND(E210*F210,2)</f>
        <v>0</v>
      </c>
      <c r="H210" s="170">
        <v>873</v>
      </c>
      <c r="I210" s="171">
        <f>ROUND(E210*H210,2)</f>
        <v>915.25</v>
      </c>
      <c r="J210" s="170">
        <v>0</v>
      </c>
      <c r="K210" s="171">
        <f>ROUND(E210*J210,2)</f>
        <v>0</v>
      </c>
      <c r="L210" s="171">
        <v>21</v>
      </c>
      <c r="M210" s="171">
        <f>G210*(1+L210/100)</f>
        <v>0</v>
      </c>
      <c r="N210" s="171">
        <v>2.9100000000000001E-2</v>
      </c>
      <c r="O210" s="171">
        <f>ROUND(E210*N210,2)</f>
        <v>0.03</v>
      </c>
      <c r="P210" s="171">
        <v>0</v>
      </c>
      <c r="Q210" s="171">
        <f>ROUND(E210*P210,2)</f>
        <v>0</v>
      </c>
      <c r="R210" s="171" t="s">
        <v>437</v>
      </c>
      <c r="S210" s="172" t="s">
        <v>147</v>
      </c>
      <c r="T210" s="156">
        <v>0</v>
      </c>
      <c r="U210" s="156">
        <f>ROUND(E210*T210,2)</f>
        <v>0</v>
      </c>
      <c r="V210" s="156"/>
      <c r="W210" s="156" t="s">
        <v>148</v>
      </c>
      <c r="X210" s="147"/>
      <c r="Y210" s="147"/>
      <c r="Z210" s="147"/>
      <c r="AA210" s="147"/>
      <c r="AB210" s="147"/>
      <c r="AC210" s="147"/>
      <c r="AD210" s="147"/>
      <c r="AE210" s="147"/>
      <c r="AF210" s="147" t="s">
        <v>149</v>
      </c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outlineLevel="1" x14ac:dyDescent="0.25">
      <c r="A211" s="154"/>
      <c r="B211" s="155"/>
      <c r="C211" s="184" t="s">
        <v>452</v>
      </c>
      <c r="D211" s="157"/>
      <c r="E211" s="158">
        <v>1.0484</v>
      </c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47"/>
      <c r="Y211" s="147"/>
      <c r="Z211" s="147"/>
      <c r="AA211" s="147"/>
      <c r="AB211" s="147"/>
      <c r="AC211" s="147"/>
      <c r="AD211" s="147"/>
      <c r="AE211" s="147"/>
      <c r="AF211" s="147" t="s">
        <v>153</v>
      </c>
      <c r="AG211" s="147">
        <v>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outlineLevel="1" x14ac:dyDescent="0.25">
      <c r="A212" s="166">
        <v>70</v>
      </c>
      <c r="B212" s="167" t="s">
        <v>453</v>
      </c>
      <c r="C212" s="183" t="s">
        <v>454</v>
      </c>
      <c r="D212" s="168" t="s">
        <v>145</v>
      </c>
      <c r="E212" s="169">
        <v>5.9281199999999998</v>
      </c>
      <c r="F212" s="170">
        <v>0</v>
      </c>
      <c r="G212" s="171">
        <f>ROUND(E212*F212,2)</f>
        <v>0</v>
      </c>
      <c r="H212" s="170">
        <v>25800</v>
      </c>
      <c r="I212" s="171">
        <f>ROUND(E212*H212,2)</f>
        <v>152945.5</v>
      </c>
      <c r="J212" s="170">
        <v>0</v>
      </c>
      <c r="K212" s="171">
        <f>ROUND(E212*J212,2)</f>
        <v>0</v>
      </c>
      <c r="L212" s="171">
        <v>21</v>
      </c>
      <c r="M212" s="171">
        <f>G212*(1+L212/100)</f>
        <v>0</v>
      </c>
      <c r="N212" s="171">
        <v>0.66</v>
      </c>
      <c r="O212" s="171">
        <f>ROUND(E212*N212,2)</f>
        <v>3.91</v>
      </c>
      <c r="P212" s="171">
        <v>0</v>
      </c>
      <c r="Q212" s="171">
        <f>ROUND(E212*P212,2)</f>
        <v>0</v>
      </c>
      <c r="R212" s="171"/>
      <c r="S212" s="172" t="s">
        <v>175</v>
      </c>
      <c r="T212" s="156">
        <v>0</v>
      </c>
      <c r="U212" s="156">
        <f>ROUND(E212*T212,2)</f>
        <v>0</v>
      </c>
      <c r="V212" s="156"/>
      <c r="W212" s="156" t="s">
        <v>170</v>
      </c>
      <c r="X212" s="147"/>
      <c r="Y212" s="147"/>
      <c r="Z212" s="147"/>
      <c r="AA212" s="147"/>
      <c r="AB212" s="147"/>
      <c r="AC212" s="147"/>
      <c r="AD212" s="147"/>
      <c r="AE212" s="147"/>
      <c r="AF212" s="147" t="s">
        <v>171</v>
      </c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outlineLevel="1" x14ac:dyDescent="0.25">
      <c r="A213" s="154"/>
      <c r="B213" s="155"/>
      <c r="C213" s="184" t="s">
        <v>455</v>
      </c>
      <c r="D213" s="157"/>
      <c r="E213" s="158">
        <v>0.78847999999999996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47"/>
      <c r="Y213" s="147"/>
      <c r="Z213" s="147"/>
      <c r="AA213" s="147"/>
      <c r="AB213" s="147"/>
      <c r="AC213" s="147"/>
      <c r="AD213" s="147"/>
      <c r="AE213" s="147"/>
      <c r="AF213" s="147" t="s">
        <v>153</v>
      </c>
      <c r="AG213" s="147">
        <v>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outlineLevel="1" x14ac:dyDescent="0.25">
      <c r="A214" s="154"/>
      <c r="B214" s="155"/>
      <c r="C214" s="184" t="s">
        <v>456</v>
      </c>
      <c r="D214" s="157"/>
      <c r="E214" s="158">
        <v>3.6907199999999998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47"/>
      <c r="Y214" s="147"/>
      <c r="Z214" s="147"/>
      <c r="AA214" s="147"/>
      <c r="AB214" s="147"/>
      <c r="AC214" s="147"/>
      <c r="AD214" s="147"/>
      <c r="AE214" s="147"/>
      <c r="AF214" s="147" t="s">
        <v>153</v>
      </c>
      <c r="AG214" s="147">
        <v>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outlineLevel="1" x14ac:dyDescent="0.25">
      <c r="A215" s="154"/>
      <c r="B215" s="155"/>
      <c r="C215" s="184" t="s">
        <v>457</v>
      </c>
      <c r="D215" s="157"/>
      <c r="E215" s="158">
        <v>1.15324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47"/>
      <c r="Y215" s="147"/>
      <c r="Z215" s="147"/>
      <c r="AA215" s="147"/>
      <c r="AB215" s="147"/>
      <c r="AC215" s="147"/>
      <c r="AD215" s="147"/>
      <c r="AE215" s="147"/>
      <c r="AF215" s="147" t="s">
        <v>153</v>
      </c>
      <c r="AG215" s="147">
        <v>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outlineLevel="1" x14ac:dyDescent="0.25">
      <c r="A216" s="154"/>
      <c r="B216" s="155"/>
      <c r="C216" s="184" t="s">
        <v>458</v>
      </c>
      <c r="D216" s="157"/>
      <c r="E216" s="158">
        <v>0.29568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47"/>
      <c r="Y216" s="147"/>
      <c r="Z216" s="147"/>
      <c r="AA216" s="147"/>
      <c r="AB216" s="147"/>
      <c r="AC216" s="147"/>
      <c r="AD216" s="147"/>
      <c r="AE216" s="147"/>
      <c r="AF216" s="147" t="s">
        <v>153</v>
      </c>
      <c r="AG216" s="147">
        <v>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outlineLevel="1" x14ac:dyDescent="0.25">
      <c r="A217" s="166">
        <v>71</v>
      </c>
      <c r="B217" s="167" t="s">
        <v>459</v>
      </c>
      <c r="C217" s="183" t="s">
        <v>460</v>
      </c>
      <c r="D217" s="168" t="s">
        <v>265</v>
      </c>
      <c r="E217" s="169">
        <v>4.2232200000000004</v>
      </c>
      <c r="F217" s="170">
        <v>0</v>
      </c>
      <c r="G217" s="171">
        <f>ROUND(E217*F217,2)</f>
        <v>0</v>
      </c>
      <c r="H217" s="170">
        <v>0</v>
      </c>
      <c r="I217" s="171">
        <f>ROUND(E217*H217,2)</f>
        <v>0</v>
      </c>
      <c r="J217" s="170">
        <v>1410</v>
      </c>
      <c r="K217" s="171">
        <f>ROUND(E217*J217,2)</f>
        <v>5954.74</v>
      </c>
      <c r="L217" s="171">
        <v>21</v>
      </c>
      <c r="M217" s="171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1" t="s">
        <v>437</v>
      </c>
      <c r="S217" s="172" t="s">
        <v>147</v>
      </c>
      <c r="T217" s="156">
        <v>1.7509999999999999</v>
      </c>
      <c r="U217" s="156">
        <f>ROUND(E217*T217,2)</f>
        <v>7.39</v>
      </c>
      <c r="V217" s="156"/>
      <c r="W217" s="156" t="s">
        <v>424</v>
      </c>
      <c r="X217" s="147"/>
      <c r="Y217" s="147"/>
      <c r="Z217" s="147"/>
      <c r="AA217" s="147"/>
      <c r="AB217" s="147"/>
      <c r="AC217" s="147"/>
      <c r="AD217" s="147"/>
      <c r="AE217" s="147"/>
      <c r="AF217" s="147" t="s">
        <v>425</v>
      </c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outlineLevel="1" x14ac:dyDescent="0.25">
      <c r="A218" s="154"/>
      <c r="B218" s="155"/>
      <c r="C218" s="253" t="s">
        <v>461</v>
      </c>
      <c r="D218" s="253"/>
      <c r="E218" s="253"/>
      <c r="F218" s="253"/>
      <c r="G218" s="253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47"/>
      <c r="Y218" s="147"/>
      <c r="Z218" s="147"/>
      <c r="AA218" s="147"/>
      <c r="AB218" s="147"/>
      <c r="AC218" s="147"/>
      <c r="AD218" s="147"/>
      <c r="AE218" s="147"/>
      <c r="AF218" s="147" t="s">
        <v>151</v>
      </c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x14ac:dyDescent="0.25">
      <c r="A219" s="160" t="s">
        <v>141</v>
      </c>
      <c r="B219" s="161" t="s">
        <v>97</v>
      </c>
      <c r="C219" s="182" t="s">
        <v>98</v>
      </c>
      <c r="D219" s="162"/>
      <c r="E219" s="163"/>
      <c r="F219" s="164"/>
      <c r="G219" s="164">
        <f>SUMIF(AF220:AF224,"&lt;&gt;NOR",G220:G224)</f>
        <v>0</v>
      </c>
      <c r="H219" s="164"/>
      <c r="I219" s="164">
        <f>SUM(I220:I224)</f>
        <v>0</v>
      </c>
      <c r="J219" s="164"/>
      <c r="K219" s="164">
        <f>SUM(K220:K224)</f>
        <v>49926.400000000001</v>
      </c>
      <c r="L219" s="164"/>
      <c r="M219" s="164">
        <f>SUM(M220:M224)</f>
        <v>0</v>
      </c>
      <c r="N219" s="164"/>
      <c r="O219" s="164">
        <f>SUM(O220:O224)</f>
        <v>0.2</v>
      </c>
      <c r="P219" s="164"/>
      <c r="Q219" s="164">
        <f>SUM(Q220:Q224)</f>
        <v>0</v>
      </c>
      <c r="R219" s="164"/>
      <c r="S219" s="165"/>
      <c r="T219" s="159"/>
      <c r="U219" s="159">
        <f>SUM(U220:U224)</f>
        <v>0</v>
      </c>
      <c r="V219" s="159"/>
      <c r="W219" s="159"/>
      <c r="AF219" t="s">
        <v>142</v>
      </c>
    </row>
    <row r="220" spans="1:59" outlineLevel="1" x14ac:dyDescent="0.25">
      <c r="A220" s="166">
        <v>72</v>
      </c>
      <c r="B220" s="167" t="s">
        <v>462</v>
      </c>
      <c r="C220" s="183" t="s">
        <v>463</v>
      </c>
      <c r="D220" s="168" t="s">
        <v>464</v>
      </c>
      <c r="E220" s="169">
        <v>185.6</v>
      </c>
      <c r="F220" s="170">
        <v>0</v>
      </c>
      <c r="G220" s="171">
        <f>ROUND(E220*F220,2)</f>
        <v>0</v>
      </c>
      <c r="H220" s="170">
        <v>0</v>
      </c>
      <c r="I220" s="171">
        <f>ROUND(E220*H220,2)</f>
        <v>0</v>
      </c>
      <c r="J220" s="170">
        <v>269</v>
      </c>
      <c r="K220" s="171">
        <f>ROUND(E220*J220,2)</f>
        <v>49926.400000000001</v>
      </c>
      <c r="L220" s="171">
        <v>21</v>
      </c>
      <c r="M220" s="171">
        <f>G220*(1+L220/100)</f>
        <v>0</v>
      </c>
      <c r="N220" s="171">
        <v>1.06E-3</v>
      </c>
      <c r="O220" s="171">
        <f>ROUND(E220*N220,2)</f>
        <v>0.2</v>
      </c>
      <c r="P220" s="171">
        <v>0</v>
      </c>
      <c r="Q220" s="171">
        <f>ROUND(E220*P220,2)</f>
        <v>0</v>
      </c>
      <c r="R220" s="171"/>
      <c r="S220" s="172" t="s">
        <v>147</v>
      </c>
      <c r="T220" s="156">
        <v>0</v>
      </c>
      <c r="U220" s="156">
        <f>ROUND(E220*T220,2)</f>
        <v>0</v>
      </c>
      <c r="V220" s="156"/>
      <c r="W220" s="156" t="s">
        <v>163</v>
      </c>
      <c r="X220" s="147"/>
      <c r="Y220" s="147"/>
      <c r="Z220" s="147"/>
      <c r="AA220" s="147"/>
      <c r="AB220" s="147"/>
      <c r="AC220" s="147"/>
      <c r="AD220" s="147"/>
      <c r="AE220" s="147"/>
      <c r="AF220" s="147" t="s">
        <v>164</v>
      </c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</row>
    <row r="221" spans="1:59" ht="20.399999999999999" outlineLevel="1" x14ac:dyDescent="0.25">
      <c r="A221" s="154"/>
      <c r="B221" s="155"/>
      <c r="C221" s="255" t="s">
        <v>465</v>
      </c>
      <c r="D221" s="255"/>
      <c r="E221" s="255"/>
      <c r="F221" s="255"/>
      <c r="G221" s="255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47"/>
      <c r="Y221" s="147"/>
      <c r="Z221" s="147"/>
      <c r="AA221" s="147"/>
      <c r="AB221" s="147"/>
      <c r="AC221" s="147"/>
      <c r="AD221" s="147"/>
      <c r="AE221" s="147"/>
      <c r="AF221" s="147" t="s">
        <v>166</v>
      </c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outlineLevel="1" x14ac:dyDescent="0.25">
      <c r="A222" s="154"/>
      <c r="B222" s="155"/>
      <c r="C222" s="184" t="s">
        <v>466</v>
      </c>
      <c r="D222" s="157"/>
      <c r="E222" s="158">
        <v>128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47"/>
      <c r="Y222" s="147"/>
      <c r="Z222" s="147"/>
      <c r="AA222" s="147"/>
      <c r="AB222" s="147"/>
      <c r="AC222" s="147"/>
      <c r="AD222" s="147"/>
      <c r="AE222" s="147"/>
      <c r="AF222" s="147" t="s">
        <v>153</v>
      </c>
      <c r="AG222" s="147">
        <v>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outlineLevel="1" x14ac:dyDescent="0.25">
      <c r="A223" s="154"/>
      <c r="B223" s="155"/>
      <c r="C223" s="184" t="s">
        <v>467</v>
      </c>
      <c r="D223" s="157"/>
      <c r="E223" s="158">
        <v>9.6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47"/>
      <c r="Y223" s="147"/>
      <c r="Z223" s="147"/>
      <c r="AA223" s="147"/>
      <c r="AB223" s="147"/>
      <c r="AC223" s="147"/>
      <c r="AD223" s="147"/>
      <c r="AE223" s="147"/>
      <c r="AF223" s="147" t="s">
        <v>153</v>
      </c>
      <c r="AG223" s="147">
        <v>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outlineLevel="1" x14ac:dyDescent="0.25">
      <c r="A224" s="154"/>
      <c r="B224" s="155"/>
      <c r="C224" s="184" t="s">
        <v>468</v>
      </c>
      <c r="D224" s="157"/>
      <c r="E224" s="158">
        <v>48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47"/>
      <c r="Y224" s="147"/>
      <c r="Z224" s="147"/>
      <c r="AA224" s="147"/>
      <c r="AB224" s="147"/>
      <c r="AC224" s="147"/>
      <c r="AD224" s="147"/>
      <c r="AE224" s="147"/>
      <c r="AF224" s="147" t="s">
        <v>153</v>
      </c>
      <c r="AG224" s="147">
        <v>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x14ac:dyDescent="0.25">
      <c r="A225" s="160" t="s">
        <v>141</v>
      </c>
      <c r="B225" s="161" t="s">
        <v>99</v>
      </c>
      <c r="C225" s="182" t="s">
        <v>100</v>
      </c>
      <c r="D225" s="162"/>
      <c r="E225" s="163"/>
      <c r="F225" s="164"/>
      <c r="G225" s="164">
        <f>SUMIF(AF226:AF240,"&lt;&gt;NOR",G226:G240)</f>
        <v>0</v>
      </c>
      <c r="H225" s="164"/>
      <c r="I225" s="164">
        <f>SUM(I226:I240)</f>
        <v>62700.719999999994</v>
      </c>
      <c r="J225" s="164"/>
      <c r="K225" s="164">
        <f>SUM(K226:K240)</f>
        <v>29800.489999999998</v>
      </c>
      <c r="L225" s="164"/>
      <c r="M225" s="164">
        <f>SUM(M226:M240)</f>
        <v>0</v>
      </c>
      <c r="N225" s="164"/>
      <c r="O225" s="164">
        <f>SUM(O226:O240)</f>
        <v>1.22</v>
      </c>
      <c r="P225" s="164"/>
      <c r="Q225" s="164">
        <f>SUM(Q226:Q240)</f>
        <v>0</v>
      </c>
      <c r="R225" s="164"/>
      <c r="S225" s="165"/>
      <c r="T225" s="159"/>
      <c r="U225" s="159">
        <f>SUM(U226:U240)</f>
        <v>60.66</v>
      </c>
      <c r="V225" s="159"/>
      <c r="W225" s="159"/>
      <c r="AF225" t="s">
        <v>142</v>
      </c>
    </row>
    <row r="226" spans="1:59" ht="20.399999999999999" outlineLevel="1" x14ac:dyDescent="0.25">
      <c r="A226" s="166">
        <v>73</v>
      </c>
      <c r="B226" s="167" t="s">
        <v>469</v>
      </c>
      <c r="C226" s="183" t="s">
        <v>853</v>
      </c>
      <c r="D226" s="168" t="s">
        <v>158</v>
      </c>
      <c r="E226" s="169">
        <v>42.363999999999997</v>
      </c>
      <c r="F226" s="170">
        <v>0</v>
      </c>
      <c r="G226" s="171">
        <f>ROUND(E226*F226,2)</f>
        <v>0</v>
      </c>
      <c r="H226" s="170">
        <v>21.7</v>
      </c>
      <c r="I226" s="171">
        <f>ROUND(E226*H226,2)</f>
        <v>919.3</v>
      </c>
      <c r="J226" s="170">
        <v>24.8</v>
      </c>
      <c r="K226" s="171">
        <f>ROUND(E226*J226,2)</f>
        <v>1050.6300000000001</v>
      </c>
      <c r="L226" s="171">
        <v>21</v>
      </c>
      <c r="M226" s="171">
        <f>G226*(1+L226/100)</f>
        <v>0</v>
      </c>
      <c r="N226" s="171">
        <v>2.1000000000000001E-4</v>
      </c>
      <c r="O226" s="171">
        <f>ROUND(E226*N226,2)</f>
        <v>0.01</v>
      </c>
      <c r="P226" s="171">
        <v>0</v>
      </c>
      <c r="Q226" s="171">
        <f>ROUND(E226*P226,2)</f>
        <v>0</v>
      </c>
      <c r="R226" s="171" t="s">
        <v>470</v>
      </c>
      <c r="S226" s="172" t="s">
        <v>147</v>
      </c>
      <c r="T226" s="156">
        <v>0.05</v>
      </c>
      <c r="U226" s="156">
        <f>ROUND(E226*T226,2)</f>
        <v>2.12</v>
      </c>
      <c r="V226" s="156"/>
      <c r="W226" s="156" t="s">
        <v>148</v>
      </c>
      <c r="X226" s="147"/>
      <c r="Y226" s="147"/>
      <c r="Z226" s="147"/>
      <c r="AA226" s="147"/>
      <c r="AB226" s="147"/>
      <c r="AC226" s="147"/>
      <c r="AD226" s="147"/>
      <c r="AE226" s="147"/>
      <c r="AF226" s="147" t="s">
        <v>471</v>
      </c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30.6" outlineLevel="1" x14ac:dyDescent="0.25">
      <c r="A227" s="154"/>
      <c r="B227" s="155"/>
      <c r="C227" s="184" t="s">
        <v>389</v>
      </c>
      <c r="D227" s="157"/>
      <c r="E227" s="158">
        <v>30.996410000000001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47"/>
      <c r="Y227" s="147"/>
      <c r="Z227" s="147"/>
      <c r="AA227" s="147"/>
      <c r="AB227" s="147"/>
      <c r="AC227" s="147"/>
      <c r="AD227" s="147"/>
      <c r="AE227" s="147"/>
      <c r="AF227" s="147" t="s">
        <v>153</v>
      </c>
      <c r="AG227" s="147">
        <v>0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</row>
    <row r="228" spans="1:59" outlineLevel="1" x14ac:dyDescent="0.25">
      <c r="A228" s="154"/>
      <c r="B228" s="155"/>
      <c r="C228" s="184" t="s">
        <v>390</v>
      </c>
      <c r="D228" s="157"/>
      <c r="E228" s="158">
        <v>11.367599999999999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47"/>
      <c r="Y228" s="147"/>
      <c r="Z228" s="147"/>
      <c r="AA228" s="147"/>
      <c r="AB228" s="147"/>
      <c r="AC228" s="147"/>
      <c r="AD228" s="147"/>
      <c r="AE228" s="147"/>
      <c r="AF228" s="147" t="s">
        <v>153</v>
      </c>
      <c r="AG228" s="147">
        <v>0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</row>
    <row r="229" spans="1:59" ht="20.399999999999999" outlineLevel="1" x14ac:dyDescent="0.25">
      <c r="A229" s="166">
        <v>74</v>
      </c>
      <c r="B229" s="167" t="s">
        <v>472</v>
      </c>
      <c r="C229" s="183" t="s">
        <v>854</v>
      </c>
      <c r="D229" s="168" t="s">
        <v>335</v>
      </c>
      <c r="E229" s="169">
        <v>49.664999999999999</v>
      </c>
      <c r="F229" s="170">
        <v>0</v>
      </c>
      <c r="G229" s="171">
        <f>ROUND(E229*F229,2)</f>
        <v>0</v>
      </c>
      <c r="H229" s="170">
        <v>18.100000000000001</v>
      </c>
      <c r="I229" s="171">
        <f>ROUND(E229*H229,2)</f>
        <v>898.94</v>
      </c>
      <c r="J229" s="170">
        <v>33.5</v>
      </c>
      <c r="K229" s="171">
        <f>ROUND(E229*J229,2)</f>
        <v>1663.78</v>
      </c>
      <c r="L229" s="171">
        <v>21</v>
      </c>
      <c r="M229" s="171">
        <f>G229*(1+L229/100)</f>
        <v>0</v>
      </c>
      <c r="N229" s="171">
        <v>4.0000000000000003E-5</v>
      </c>
      <c r="O229" s="171">
        <f>ROUND(E229*N229,2)</f>
        <v>0</v>
      </c>
      <c r="P229" s="171">
        <v>0</v>
      </c>
      <c r="Q229" s="171">
        <f>ROUND(E229*P229,2)</f>
        <v>0</v>
      </c>
      <c r="R229" s="171" t="s">
        <v>470</v>
      </c>
      <c r="S229" s="172" t="s">
        <v>147</v>
      </c>
      <c r="T229" s="156">
        <v>7.0000000000000007E-2</v>
      </c>
      <c r="U229" s="156">
        <f>ROUND(E229*T229,2)</f>
        <v>3.48</v>
      </c>
      <c r="V229" s="156"/>
      <c r="W229" s="156" t="s">
        <v>148</v>
      </c>
      <c r="X229" s="147"/>
      <c r="Y229" s="147"/>
      <c r="Z229" s="147"/>
      <c r="AA229" s="147"/>
      <c r="AB229" s="147"/>
      <c r="AC229" s="147"/>
      <c r="AD229" s="147"/>
      <c r="AE229" s="147"/>
      <c r="AF229" s="147" t="s">
        <v>149</v>
      </c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</row>
    <row r="230" spans="1:59" outlineLevel="1" x14ac:dyDescent="0.25">
      <c r="A230" s="154"/>
      <c r="B230" s="155"/>
      <c r="C230" s="255" t="s">
        <v>473</v>
      </c>
      <c r="D230" s="255"/>
      <c r="E230" s="255"/>
      <c r="F230" s="255"/>
      <c r="G230" s="255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47"/>
      <c r="Y230" s="147"/>
      <c r="Z230" s="147"/>
      <c r="AA230" s="147"/>
      <c r="AB230" s="147"/>
      <c r="AC230" s="147"/>
      <c r="AD230" s="147"/>
      <c r="AE230" s="147"/>
      <c r="AF230" s="147" t="s">
        <v>166</v>
      </c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</row>
    <row r="231" spans="1:59" ht="30.6" outlineLevel="1" x14ac:dyDescent="0.25">
      <c r="A231" s="154"/>
      <c r="B231" s="155"/>
      <c r="C231" s="184" t="s">
        <v>474</v>
      </c>
      <c r="D231" s="157"/>
      <c r="E231" s="158">
        <v>49.664999999999999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47"/>
      <c r="Y231" s="147"/>
      <c r="Z231" s="147"/>
      <c r="AA231" s="147"/>
      <c r="AB231" s="147"/>
      <c r="AC231" s="147"/>
      <c r="AD231" s="147"/>
      <c r="AE231" s="147"/>
      <c r="AF231" s="147" t="s">
        <v>153</v>
      </c>
      <c r="AG231" s="147">
        <v>0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</row>
    <row r="232" spans="1:59" ht="20.399999999999999" outlineLevel="1" x14ac:dyDescent="0.25">
      <c r="A232" s="166">
        <v>75</v>
      </c>
      <c r="B232" s="167" t="s">
        <v>475</v>
      </c>
      <c r="C232" s="183" t="s">
        <v>476</v>
      </c>
      <c r="D232" s="168" t="s">
        <v>335</v>
      </c>
      <c r="E232" s="169">
        <v>44.877000000000002</v>
      </c>
      <c r="F232" s="170">
        <v>0</v>
      </c>
      <c r="G232" s="171">
        <f>ROUND(E232*F232,2)</f>
        <v>0</v>
      </c>
      <c r="H232" s="170">
        <v>745.59</v>
      </c>
      <c r="I232" s="171">
        <f>ROUND(E232*H232,2)</f>
        <v>33459.839999999997</v>
      </c>
      <c r="J232" s="170">
        <v>74.41</v>
      </c>
      <c r="K232" s="171">
        <f>ROUND(E232*J232,2)</f>
        <v>3339.3</v>
      </c>
      <c r="L232" s="171">
        <v>21</v>
      </c>
      <c r="M232" s="171">
        <f>G232*(1+L232/100)</f>
        <v>0</v>
      </c>
      <c r="N232" s="171">
        <v>4.2999999999999999E-4</v>
      </c>
      <c r="O232" s="171">
        <f>ROUND(E232*N232,2)</f>
        <v>0.02</v>
      </c>
      <c r="P232" s="171">
        <v>0</v>
      </c>
      <c r="Q232" s="171">
        <f>ROUND(E232*P232,2)</f>
        <v>0</v>
      </c>
      <c r="R232" s="171" t="s">
        <v>470</v>
      </c>
      <c r="S232" s="172" t="s">
        <v>147</v>
      </c>
      <c r="T232" s="156">
        <v>0.15</v>
      </c>
      <c r="U232" s="156">
        <f>ROUND(E232*T232,2)</f>
        <v>6.73</v>
      </c>
      <c r="V232" s="156"/>
      <c r="W232" s="156" t="s">
        <v>148</v>
      </c>
      <c r="X232" s="147"/>
      <c r="Y232" s="147"/>
      <c r="Z232" s="147"/>
      <c r="AA232" s="147"/>
      <c r="AB232" s="147"/>
      <c r="AC232" s="147"/>
      <c r="AD232" s="147"/>
      <c r="AE232" s="147"/>
      <c r="AF232" s="147" t="s">
        <v>149</v>
      </c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</row>
    <row r="233" spans="1:59" outlineLevel="1" x14ac:dyDescent="0.25">
      <c r="A233" s="154"/>
      <c r="B233" s="155"/>
      <c r="C233" s="184" t="s">
        <v>477</v>
      </c>
      <c r="D233" s="157"/>
      <c r="E233" s="158">
        <v>44.877000000000002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47"/>
      <c r="Y233" s="147"/>
      <c r="Z233" s="147"/>
      <c r="AA233" s="147"/>
      <c r="AB233" s="147"/>
      <c r="AC233" s="147"/>
      <c r="AD233" s="147"/>
      <c r="AE233" s="147"/>
      <c r="AF233" s="147" t="s">
        <v>153</v>
      </c>
      <c r="AG233" s="147">
        <v>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</row>
    <row r="234" spans="1:59" ht="20.399999999999999" outlineLevel="1" x14ac:dyDescent="0.25">
      <c r="A234" s="166">
        <v>76</v>
      </c>
      <c r="B234" s="167" t="s">
        <v>478</v>
      </c>
      <c r="C234" s="183" t="s">
        <v>479</v>
      </c>
      <c r="D234" s="168" t="s">
        <v>158</v>
      </c>
      <c r="E234" s="169">
        <v>42.363999999999997</v>
      </c>
      <c r="F234" s="170">
        <v>0</v>
      </c>
      <c r="G234" s="171">
        <f>ROUND(E234*F234,2)</f>
        <v>0</v>
      </c>
      <c r="H234" s="170">
        <v>133.61000000000001</v>
      </c>
      <c r="I234" s="171">
        <f>ROUND(E234*H234,2)</f>
        <v>5660.25</v>
      </c>
      <c r="J234" s="170">
        <v>543.39</v>
      </c>
      <c r="K234" s="171">
        <f>ROUND(E234*J234,2)</f>
        <v>23020.17</v>
      </c>
      <c r="L234" s="171">
        <v>21</v>
      </c>
      <c r="M234" s="171">
        <f>G234*(1+L234/100)</f>
        <v>0</v>
      </c>
      <c r="N234" s="171">
        <v>7.1399999999999996E-3</v>
      </c>
      <c r="O234" s="171">
        <f>ROUND(E234*N234,2)</f>
        <v>0.3</v>
      </c>
      <c r="P234" s="171">
        <v>0</v>
      </c>
      <c r="Q234" s="171">
        <f>ROUND(E234*P234,2)</f>
        <v>0</v>
      </c>
      <c r="R234" s="171" t="s">
        <v>470</v>
      </c>
      <c r="S234" s="172" t="s">
        <v>147</v>
      </c>
      <c r="T234" s="156">
        <v>1.0946</v>
      </c>
      <c r="U234" s="156">
        <f>ROUND(E234*T234,2)</f>
        <v>46.37</v>
      </c>
      <c r="V234" s="156"/>
      <c r="W234" s="156" t="s">
        <v>148</v>
      </c>
      <c r="X234" s="147"/>
      <c r="Y234" s="147"/>
      <c r="Z234" s="147"/>
      <c r="AA234" s="147"/>
      <c r="AB234" s="147"/>
      <c r="AC234" s="147"/>
      <c r="AD234" s="147"/>
      <c r="AE234" s="147"/>
      <c r="AF234" s="147" t="s">
        <v>149</v>
      </c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</row>
    <row r="235" spans="1:59" ht="30.6" outlineLevel="1" x14ac:dyDescent="0.25">
      <c r="A235" s="154"/>
      <c r="B235" s="155"/>
      <c r="C235" s="184" t="s">
        <v>389</v>
      </c>
      <c r="D235" s="157"/>
      <c r="E235" s="158">
        <v>30.996410000000001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47"/>
      <c r="Y235" s="147"/>
      <c r="Z235" s="147"/>
      <c r="AA235" s="147"/>
      <c r="AB235" s="147"/>
      <c r="AC235" s="147"/>
      <c r="AD235" s="147"/>
      <c r="AE235" s="147"/>
      <c r="AF235" s="147" t="s">
        <v>153</v>
      </c>
      <c r="AG235" s="147">
        <v>0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</row>
    <row r="236" spans="1:59" outlineLevel="1" x14ac:dyDescent="0.25">
      <c r="A236" s="154"/>
      <c r="B236" s="155"/>
      <c r="C236" s="184" t="s">
        <v>390</v>
      </c>
      <c r="D236" s="157"/>
      <c r="E236" s="158">
        <v>11.367599999999999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47"/>
      <c r="Y236" s="147"/>
      <c r="Z236" s="147"/>
      <c r="AA236" s="147"/>
      <c r="AB236" s="147"/>
      <c r="AC236" s="147"/>
      <c r="AD236" s="147"/>
      <c r="AE236" s="147"/>
      <c r="AF236" s="147" t="s">
        <v>153</v>
      </c>
      <c r="AG236" s="147">
        <v>0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</row>
    <row r="237" spans="1:59" ht="20.399999999999999" outlineLevel="1" x14ac:dyDescent="0.25">
      <c r="A237" s="166">
        <v>77</v>
      </c>
      <c r="B237" s="167" t="s">
        <v>480</v>
      </c>
      <c r="C237" s="183" t="s">
        <v>481</v>
      </c>
      <c r="D237" s="168" t="s">
        <v>158</v>
      </c>
      <c r="E237" s="169">
        <v>46.6004</v>
      </c>
      <c r="F237" s="170">
        <v>0</v>
      </c>
      <c r="G237" s="171">
        <f>ROUND(E237*F237,2)</f>
        <v>0</v>
      </c>
      <c r="H237" s="170">
        <v>467</v>
      </c>
      <c r="I237" s="171">
        <f>ROUND(E237*H237,2)</f>
        <v>21762.39</v>
      </c>
      <c r="J237" s="170">
        <v>0</v>
      </c>
      <c r="K237" s="171">
        <f>ROUND(E237*J237,2)</f>
        <v>0</v>
      </c>
      <c r="L237" s="171">
        <v>21</v>
      </c>
      <c r="M237" s="171">
        <f>G237*(1+L237/100)</f>
        <v>0</v>
      </c>
      <c r="N237" s="171">
        <v>1.9199999999999998E-2</v>
      </c>
      <c r="O237" s="171">
        <f>ROUND(E237*N237,2)</f>
        <v>0.89</v>
      </c>
      <c r="P237" s="171">
        <v>0</v>
      </c>
      <c r="Q237" s="171">
        <f>ROUND(E237*P237,2)</f>
        <v>0</v>
      </c>
      <c r="R237" s="171" t="s">
        <v>169</v>
      </c>
      <c r="S237" s="172" t="s">
        <v>147</v>
      </c>
      <c r="T237" s="156">
        <v>0</v>
      </c>
      <c r="U237" s="156">
        <f>ROUND(E237*T237,2)</f>
        <v>0</v>
      </c>
      <c r="V237" s="156"/>
      <c r="W237" s="156" t="s">
        <v>170</v>
      </c>
      <c r="X237" s="147"/>
      <c r="Y237" s="147"/>
      <c r="Z237" s="147"/>
      <c r="AA237" s="147"/>
      <c r="AB237" s="147"/>
      <c r="AC237" s="147"/>
      <c r="AD237" s="147"/>
      <c r="AE237" s="147"/>
      <c r="AF237" s="147" t="s">
        <v>171</v>
      </c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</row>
    <row r="238" spans="1:59" outlineLevel="1" x14ac:dyDescent="0.25">
      <c r="A238" s="154"/>
      <c r="B238" s="155"/>
      <c r="C238" s="184" t="s">
        <v>482</v>
      </c>
      <c r="D238" s="157"/>
      <c r="E238" s="158">
        <v>46.6004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47"/>
      <c r="Y238" s="147"/>
      <c r="Z238" s="147"/>
      <c r="AA238" s="147"/>
      <c r="AB238" s="147"/>
      <c r="AC238" s="147"/>
      <c r="AD238" s="147"/>
      <c r="AE238" s="147"/>
      <c r="AF238" s="147" t="s">
        <v>153</v>
      </c>
      <c r="AG238" s="147">
        <v>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</row>
    <row r="239" spans="1:59" outlineLevel="1" x14ac:dyDescent="0.25">
      <c r="A239" s="166">
        <v>78</v>
      </c>
      <c r="B239" s="167" t="s">
        <v>483</v>
      </c>
      <c r="C239" s="183" t="s">
        <v>484</v>
      </c>
      <c r="D239" s="168" t="s">
        <v>265</v>
      </c>
      <c r="E239" s="169">
        <v>1.22739</v>
      </c>
      <c r="F239" s="170">
        <v>0</v>
      </c>
      <c r="G239" s="171">
        <f>ROUND(E239*F239,2)</f>
        <v>0</v>
      </c>
      <c r="H239" s="170">
        <v>0</v>
      </c>
      <c r="I239" s="171">
        <f>ROUND(E239*H239,2)</f>
        <v>0</v>
      </c>
      <c r="J239" s="170">
        <v>592</v>
      </c>
      <c r="K239" s="171">
        <f>ROUND(E239*J239,2)</f>
        <v>726.61</v>
      </c>
      <c r="L239" s="171">
        <v>21</v>
      </c>
      <c r="M239" s="171">
        <f>G239*(1+L239/100)</f>
        <v>0</v>
      </c>
      <c r="N239" s="171">
        <v>0</v>
      </c>
      <c r="O239" s="171">
        <f>ROUND(E239*N239,2)</f>
        <v>0</v>
      </c>
      <c r="P239" s="171">
        <v>0</v>
      </c>
      <c r="Q239" s="171">
        <f>ROUND(E239*P239,2)</f>
        <v>0</v>
      </c>
      <c r="R239" s="171" t="s">
        <v>470</v>
      </c>
      <c r="S239" s="172" t="s">
        <v>147</v>
      </c>
      <c r="T239" s="156">
        <v>1.5980000000000001</v>
      </c>
      <c r="U239" s="156">
        <f>ROUND(E239*T239,2)</f>
        <v>1.96</v>
      </c>
      <c r="V239" s="156"/>
      <c r="W239" s="156" t="s">
        <v>424</v>
      </c>
      <c r="X239" s="147"/>
      <c r="Y239" s="147"/>
      <c r="Z239" s="147"/>
      <c r="AA239" s="147"/>
      <c r="AB239" s="147"/>
      <c r="AC239" s="147"/>
      <c r="AD239" s="147"/>
      <c r="AE239" s="147"/>
      <c r="AF239" s="147" t="s">
        <v>425</v>
      </c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</row>
    <row r="240" spans="1:59" outlineLevel="1" x14ac:dyDescent="0.25">
      <c r="A240" s="154"/>
      <c r="B240" s="155"/>
      <c r="C240" s="253" t="s">
        <v>461</v>
      </c>
      <c r="D240" s="253"/>
      <c r="E240" s="253"/>
      <c r="F240" s="253"/>
      <c r="G240" s="253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47"/>
      <c r="Y240" s="147"/>
      <c r="Z240" s="147"/>
      <c r="AA240" s="147"/>
      <c r="AB240" s="147"/>
      <c r="AC240" s="147"/>
      <c r="AD240" s="147"/>
      <c r="AE240" s="147"/>
      <c r="AF240" s="147" t="s">
        <v>151</v>
      </c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</row>
    <row r="241" spans="1:59" x14ac:dyDescent="0.25">
      <c r="A241" s="160" t="s">
        <v>141</v>
      </c>
      <c r="B241" s="161" t="s">
        <v>101</v>
      </c>
      <c r="C241" s="182" t="s">
        <v>102</v>
      </c>
      <c r="D241" s="162"/>
      <c r="E241" s="163"/>
      <c r="F241" s="164"/>
      <c r="G241" s="164">
        <f>SUMIF(AF242:AF247,"&lt;&gt;NOR",G242:G247)</f>
        <v>0</v>
      </c>
      <c r="H241" s="164"/>
      <c r="I241" s="164">
        <f>SUM(I242:I247)</f>
        <v>12119.99</v>
      </c>
      <c r="J241" s="164"/>
      <c r="K241" s="164">
        <f>SUM(K242:K247)</f>
        <v>628.91999999999996</v>
      </c>
      <c r="L241" s="164"/>
      <c r="M241" s="164">
        <f>SUM(M242:M247)</f>
        <v>0</v>
      </c>
      <c r="N241" s="164"/>
      <c r="O241" s="164">
        <f>SUM(O242:O247)</f>
        <v>0.02</v>
      </c>
      <c r="P241" s="164"/>
      <c r="Q241" s="164">
        <f>SUM(Q242:Q247)</f>
        <v>0</v>
      </c>
      <c r="R241" s="164"/>
      <c r="S241" s="165"/>
      <c r="T241" s="159"/>
      <c r="U241" s="159">
        <f>SUM(U242:U247)</f>
        <v>1.3800000000000001</v>
      </c>
      <c r="V241" s="159"/>
      <c r="W241" s="159"/>
      <c r="AF241" t="s">
        <v>142</v>
      </c>
    </row>
    <row r="242" spans="1:59" ht="20.399999999999999" outlineLevel="1" x14ac:dyDescent="0.25">
      <c r="A242" s="166">
        <v>79</v>
      </c>
      <c r="B242" s="167" t="s">
        <v>485</v>
      </c>
      <c r="C242" s="183" t="s">
        <v>486</v>
      </c>
      <c r="D242" s="168" t="s">
        <v>158</v>
      </c>
      <c r="E242" s="169">
        <v>2.1</v>
      </c>
      <c r="F242" s="170">
        <v>0</v>
      </c>
      <c r="G242" s="171">
        <f>ROUND(E242*F242,2)</f>
        <v>0</v>
      </c>
      <c r="H242" s="170">
        <v>4686.07</v>
      </c>
      <c r="I242" s="171">
        <f>ROUND(E242*H242,2)</f>
        <v>9840.75</v>
      </c>
      <c r="J242" s="170">
        <v>23.93</v>
      </c>
      <c r="K242" s="171">
        <f>ROUND(E242*J242,2)</f>
        <v>50.25</v>
      </c>
      <c r="L242" s="171">
        <v>21</v>
      </c>
      <c r="M242" s="171">
        <f>G242*(1+L242/100)</f>
        <v>0</v>
      </c>
      <c r="N242" s="171">
        <v>0.01</v>
      </c>
      <c r="O242" s="171">
        <f>ROUND(E242*N242,2)</f>
        <v>0.02</v>
      </c>
      <c r="P242" s="171">
        <v>0</v>
      </c>
      <c r="Q242" s="171">
        <f>ROUND(E242*P242,2)</f>
        <v>0</v>
      </c>
      <c r="R242" s="171" t="s">
        <v>487</v>
      </c>
      <c r="S242" s="172" t="s">
        <v>147</v>
      </c>
      <c r="T242" s="156">
        <v>0.05</v>
      </c>
      <c r="U242" s="156">
        <f>ROUND(E242*T242,2)</f>
        <v>0.11</v>
      </c>
      <c r="V242" s="156"/>
      <c r="W242" s="156" t="s">
        <v>148</v>
      </c>
      <c r="X242" s="147"/>
      <c r="Y242" s="147"/>
      <c r="Z242" s="147"/>
      <c r="AA242" s="147"/>
      <c r="AB242" s="147"/>
      <c r="AC242" s="147"/>
      <c r="AD242" s="147"/>
      <c r="AE242" s="147"/>
      <c r="AF242" s="147" t="s">
        <v>149</v>
      </c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</row>
    <row r="243" spans="1:59" outlineLevel="1" x14ac:dyDescent="0.25">
      <c r="A243" s="154"/>
      <c r="B243" s="155"/>
      <c r="C243" s="184" t="s">
        <v>420</v>
      </c>
      <c r="D243" s="157"/>
      <c r="E243" s="158">
        <v>2.1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47"/>
      <c r="Y243" s="147"/>
      <c r="Z243" s="147"/>
      <c r="AA243" s="147"/>
      <c r="AB243" s="147"/>
      <c r="AC243" s="147"/>
      <c r="AD243" s="147"/>
      <c r="AE243" s="147"/>
      <c r="AF243" s="147" t="s">
        <v>153</v>
      </c>
      <c r="AG243" s="147">
        <v>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</row>
    <row r="244" spans="1:59" outlineLevel="1" x14ac:dyDescent="0.25">
      <c r="A244" s="166">
        <v>80</v>
      </c>
      <c r="B244" s="167" t="s">
        <v>488</v>
      </c>
      <c r="C244" s="183" t="s">
        <v>489</v>
      </c>
      <c r="D244" s="168" t="s">
        <v>490</v>
      </c>
      <c r="E244" s="169">
        <v>6.2</v>
      </c>
      <c r="F244" s="170">
        <v>0</v>
      </c>
      <c r="G244" s="171">
        <f>ROUND(E244*F244,2)</f>
        <v>0</v>
      </c>
      <c r="H244" s="170">
        <v>367.62</v>
      </c>
      <c r="I244" s="171">
        <f>ROUND(E244*H244,2)</f>
        <v>2279.2399999999998</v>
      </c>
      <c r="J244" s="170">
        <v>91.38</v>
      </c>
      <c r="K244" s="171">
        <f>ROUND(E244*J244,2)</f>
        <v>566.55999999999995</v>
      </c>
      <c r="L244" s="171">
        <v>21</v>
      </c>
      <c r="M244" s="171">
        <f>G244*(1+L244/100)</f>
        <v>0</v>
      </c>
      <c r="N244" s="171">
        <v>5.2999999999999998E-4</v>
      </c>
      <c r="O244" s="171">
        <f>ROUND(E244*N244,2)</f>
        <v>0</v>
      </c>
      <c r="P244" s="171">
        <v>0</v>
      </c>
      <c r="Q244" s="171">
        <f>ROUND(E244*P244,2)</f>
        <v>0</v>
      </c>
      <c r="R244" s="171" t="s">
        <v>487</v>
      </c>
      <c r="S244" s="172" t="s">
        <v>147</v>
      </c>
      <c r="T244" s="156">
        <v>0.2</v>
      </c>
      <c r="U244" s="156">
        <f>ROUND(E244*T244,2)</f>
        <v>1.24</v>
      </c>
      <c r="V244" s="156"/>
      <c r="W244" s="156" t="s">
        <v>148</v>
      </c>
      <c r="X244" s="147"/>
      <c r="Y244" s="147"/>
      <c r="Z244" s="147"/>
      <c r="AA244" s="147"/>
      <c r="AB244" s="147"/>
      <c r="AC244" s="147"/>
      <c r="AD244" s="147"/>
      <c r="AE244" s="147"/>
      <c r="AF244" s="147" t="s">
        <v>149</v>
      </c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</row>
    <row r="245" spans="1:59" outlineLevel="1" x14ac:dyDescent="0.25">
      <c r="A245" s="154"/>
      <c r="B245" s="155"/>
      <c r="C245" s="184" t="s">
        <v>491</v>
      </c>
      <c r="D245" s="157"/>
      <c r="E245" s="158">
        <v>6.2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47"/>
      <c r="Y245" s="147"/>
      <c r="Z245" s="147"/>
      <c r="AA245" s="147"/>
      <c r="AB245" s="147"/>
      <c r="AC245" s="147"/>
      <c r="AD245" s="147"/>
      <c r="AE245" s="147"/>
      <c r="AF245" s="147" t="s">
        <v>153</v>
      </c>
      <c r="AG245" s="147">
        <v>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</row>
    <row r="246" spans="1:59" outlineLevel="1" x14ac:dyDescent="0.25">
      <c r="A246" s="166">
        <v>81</v>
      </c>
      <c r="B246" s="167" t="s">
        <v>492</v>
      </c>
      <c r="C246" s="183" t="s">
        <v>493</v>
      </c>
      <c r="D246" s="168" t="s">
        <v>265</v>
      </c>
      <c r="E246" s="169">
        <v>2.4289999999999999E-2</v>
      </c>
      <c r="F246" s="170">
        <v>0</v>
      </c>
      <c r="G246" s="171">
        <f>ROUND(E246*F246,2)</f>
        <v>0</v>
      </c>
      <c r="H246" s="170">
        <v>0</v>
      </c>
      <c r="I246" s="171">
        <f>ROUND(E246*H246,2)</f>
        <v>0</v>
      </c>
      <c r="J246" s="170">
        <v>498.5</v>
      </c>
      <c r="K246" s="171">
        <f>ROUND(E246*J246,2)</f>
        <v>12.11</v>
      </c>
      <c r="L246" s="171">
        <v>21</v>
      </c>
      <c r="M246" s="171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1" t="s">
        <v>487</v>
      </c>
      <c r="S246" s="172" t="s">
        <v>147</v>
      </c>
      <c r="T246" s="156">
        <v>1.091</v>
      </c>
      <c r="U246" s="156">
        <f>ROUND(E246*T246,2)</f>
        <v>0.03</v>
      </c>
      <c r="V246" s="156"/>
      <c r="W246" s="156" t="s">
        <v>424</v>
      </c>
      <c r="X246" s="147"/>
      <c r="Y246" s="147"/>
      <c r="Z246" s="147"/>
      <c r="AA246" s="147"/>
      <c r="AB246" s="147"/>
      <c r="AC246" s="147"/>
      <c r="AD246" s="147"/>
      <c r="AE246" s="147"/>
      <c r="AF246" s="147" t="s">
        <v>425</v>
      </c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</row>
    <row r="247" spans="1:59" outlineLevel="1" x14ac:dyDescent="0.25">
      <c r="A247" s="154"/>
      <c r="B247" s="155"/>
      <c r="C247" s="253" t="s">
        <v>494</v>
      </c>
      <c r="D247" s="253"/>
      <c r="E247" s="253"/>
      <c r="F247" s="253"/>
      <c r="G247" s="253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47"/>
      <c r="Y247" s="147"/>
      <c r="Z247" s="147"/>
      <c r="AA247" s="147"/>
      <c r="AB247" s="147"/>
      <c r="AC247" s="147"/>
      <c r="AD247" s="147"/>
      <c r="AE247" s="147"/>
      <c r="AF247" s="147" t="s">
        <v>151</v>
      </c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</row>
    <row r="248" spans="1:59" x14ac:dyDescent="0.25">
      <c r="A248" s="160" t="s">
        <v>141</v>
      </c>
      <c r="B248" s="161" t="s">
        <v>103</v>
      </c>
      <c r="C248" s="182" t="s">
        <v>104</v>
      </c>
      <c r="D248" s="162"/>
      <c r="E248" s="163"/>
      <c r="F248" s="164"/>
      <c r="G248" s="164">
        <f>SUMIF(AF249:AF256,"&lt;&gt;NOR",G249:G256)</f>
        <v>0</v>
      </c>
      <c r="H248" s="164"/>
      <c r="I248" s="164">
        <f>SUM(I249:I256)</f>
        <v>14956.78</v>
      </c>
      <c r="J248" s="164"/>
      <c r="K248" s="164">
        <f>SUM(K249:K256)</f>
        <v>53592.800000000003</v>
      </c>
      <c r="L248" s="164"/>
      <c r="M248" s="164">
        <f>SUM(M249:M256)</f>
        <v>0</v>
      </c>
      <c r="N248" s="164"/>
      <c r="O248" s="164">
        <f>SUM(O249:O256)</f>
        <v>0.12</v>
      </c>
      <c r="P248" s="164"/>
      <c r="Q248" s="164">
        <f>SUM(Q249:Q256)</f>
        <v>0</v>
      </c>
      <c r="R248" s="164"/>
      <c r="S248" s="165"/>
      <c r="T248" s="159"/>
      <c r="U248" s="159">
        <f>SUM(U249:U256)</f>
        <v>121.73</v>
      </c>
      <c r="V248" s="159"/>
      <c r="W248" s="159"/>
      <c r="AF248" t="s">
        <v>142</v>
      </c>
    </row>
    <row r="249" spans="1:59" outlineLevel="1" x14ac:dyDescent="0.25">
      <c r="A249" s="166">
        <v>82</v>
      </c>
      <c r="B249" s="167" t="s">
        <v>495</v>
      </c>
      <c r="C249" s="183" t="s">
        <v>496</v>
      </c>
      <c r="D249" s="168" t="s">
        <v>158</v>
      </c>
      <c r="E249" s="169">
        <v>25</v>
      </c>
      <c r="F249" s="170">
        <v>0</v>
      </c>
      <c r="G249" s="171">
        <f>ROUND(E249*F249,2)</f>
        <v>0</v>
      </c>
      <c r="H249" s="170">
        <v>102.91</v>
      </c>
      <c r="I249" s="171">
        <f>ROUND(E249*H249,2)</f>
        <v>2572.75</v>
      </c>
      <c r="J249" s="170">
        <v>137.09</v>
      </c>
      <c r="K249" s="171">
        <f>ROUND(E249*J249,2)</f>
        <v>3427.25</v>
      </c>
      <c r="L249" s="171">
        <v>21</v>
      </c>
      <c r="M249" s="171">
        <f>G249*(1+L249/100)</f>
        <v>0</v>
      </c>
      <c r="N249" s="171">
        <v>4.4000000000000002E-4</v>
      </c>
      <c r="O249" s="171">
        <f>ROUND(E249*N249,2)</f>
        <v>0.01</v>
      </c>
      <c r="P249" s="171">
        <v>0</v>
      </c>
      <c r="Q249" s="171">
        <f>ROUND(E249*P249,2)</f>
        <v>0</v>
      </c>
      <c r="R249" s="171" t="s">
        <v>497</v>
      </c>
      <c r="S249" s="172" t="s">
        <v>147</v>
      </c>
      <c r="T249" s="156">
        <v>0.30599999999999999</v>
      </c>
      <c r="U249" s="156">
        <f>ROUND(E249*T249,2)</f>
        <v>7.65</v>
      </c>
      <c r="V249" s="156"/>
      <c r="W249" s="156" t="s">
        <v>148</v>
      </c>
      <c r="X249" s="147"/>
      <c r="Y249" s="147"/>
      <c r="Z249" s="147"/>
      <c r="AA249" s="147"/>
      <c r="AB249" s="147"/>
      <c r="AC249" s="147"/>
      <c r="AD249" s="147"/>
      <c r="AE249" s="147"/>
      <c r="AF249" s="147" t="s">
        <v>149</v>
      </c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</row>
    <row r="250" spans="1:59" outlineLevel="1" x14ac:dyDescent="0.25">
      <c r="A250" s="154"/>
      <c r="B250" s="155"/>
      <c r="C250" s="253" t="s">
        <v>498</v>
      </c>
      <c r="D250" s="253"/>
      <c r="E250" s="253"/>
      <c r="F250" s="253"/>
      <c r="G250" s="253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47"/>
      <c r="Y250" s="147"/>
      <c r="Z250" s="147"/>
      <c r="AA250" s="147"/>
      <c r="AB250" s="147"/>
      <c r="AC250" s="147"/>
      <c r="AD250" s="147"/>
      <c r="AE250" s="147"/>
      <c r="AF250" s="147" t="s">
        <v>151</v>
      </c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</row>
    <row r="251" spans="1:59" outlineLevel="1" x14ac:dyDescent="0.25">
      <c r="A251" s="154"/>
      <c r="B251" s="155"/>
      <c r="C251" s="184" t="s">
        <v>499</v>
      </c>
      <c r="D251" s="157"/>
      <c r="E251" s="158">
        <v>20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47"/>
      <c r="Y251" s="147"/>
      <c r="Z251" s="147"/>
      <c r="AA251" s="147"/>
      <c r="AB251" s="147"/>
      <c r="AC251" s="147"/>
      <c r="AD251" s="147"/>
      <c r="AE251" s="147"/>
      <c r="AF251" s="147" t="s">
        <v>153</v>
      </c>
      <c r="AG251" s="147">
        <v>0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</row>
    <row r="252" spans="1:59" outlineLevel="1" x14ac:dyDescent="0.25">
      <c r="A252" s="154"/>
      <c r="B252" s="155"/>
      <c r="C252" s="184" t="s">
        <v>500</v>
      </c>
      <c r="D252" s="157"/>
      <c r="E252" s="158">
        <v>5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47"/>
      <c r="Y252" s="147"/>
      <c r="Z252" s="147"/>
      <c r="AA252" s="147"/>
      <c r="AB252" s="147"/>
      <c r="AC252" s="147"/>
      <c r="AD252" s="147"/>
      <c r="AE252" s="147"/>
      <c r="AF252" s="147" t="s">
        <v>153</v>
      </c>
      <c r="AG252" s="147">
        <v>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</row>
    <row r="253" spans="1:59" outlineLevel="1" x14ac:dyDescent="0.25">
      <c r="A253" s="166">
        <v>83</v>
      </c>
      <c r="B253" s="167" t="s">
        <v>501</v>
      </c>
      <c r="C253" s="183" t="s">
        <v>502</v>
      </c>
      <c r="D253" s="168" t="s">
        <v>158</v>
      </c>
      <c r="E253" s="169">
        <v>393.39359999999999</v>
      </c>
      <c r="F253" s="170">
        <v>0</v>
      </c>
      <c r="G253" s="171">
        <f>ROUND(E253*F253,2)</f>
        <v>0</v>
      </c>
      <c r="H253" s="170">
        <v>31.48</v>
      </c>
      <c r="I253" s="171">
        <f>ROUND(E253*H253,2)</f>
        <v>12384.03</v>
      </c>
      <c r="J253" s="170">
        <v>127.52</v>
      </c>
      <c r="K253" s="171">
        <f>ROUND(E253*J253,2)</f>
        <v>50165.55</v>
      </c>
      <c r="L253" s="171">
        <v>21</v>
      </c>
      <c r="M253" s="171">
        <f>G253*(1+L253/100)</f>
        <v>0</v>
      </c>
      <c r="N253" s="171">
        <v>2.7E-4</v>
      </c>
      <c r="O253" s="171">
        <f>ROUND(E253*N253,2)</f>
        <v>0.11</v>
      </c>
      <c r="P253" s="171">
        <v>0</v>
      </c>
      <c r="Q253" s="171">
        <f>ROUND(E253*P253,2)</f>
        <v>0</v>
      </c>
      <c r="R253" s="171" t="s">
        <v>497</v>
      </c>
      <c r="S253" s="172" t="s">
        <v>147</v>
      </c>
      <c r="T253" s="156">
        <v>0.28999999999999998</v>
      </c>
      <c r="U253" s="156">
        <f>ROUND(E253*T253,2)</f>
        <v>114.08</v>
      </c>
      <c r="V253" s="156"/>
      <c r="W253" s="156" t="s">
        <v>148</v>
      </c>
      <c r="X253" s="147"/>
      <c r="Y253" s="147"/>
      <c r="Z253" s="147"/>
      <c r="AA253" s="147"/>
      <c r="AB253" s="147"/>
      <c r="AC253" s="147"/>
      <c r="AD253" s="147"/>
      <c r="AE253" s="147"/>
      <c r="AF253" s="147" t="s">
        <v>149</v>
      </c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</row>
    <row r="254" spans="1:59" outlineLevel="1" x14ac:dyDescent="0.25">
      <c r="A254" s="154"/>
      <c r="B254" s="155"/>
      <c r="C254" s="184" t="s">
        <v>503</v>
      </c>
      <c r="D254" s="157"/>
      <c r="E254" s="158">
        <v>78.847999999999999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47"/>
      <c r="Y254" s="147"/>
      <c r="Z254" s="147"/>
      <c r="AA254" s="147"/>
      <c r="AB254" s="147"/>
      <c r="AC254" s="147"/>
      <c r="AD254" s="147"/>
      <c r="AE254" s="147"/>
      <c r="AF254" s="147" t="s">
        <v>153</v>
      </c>
      <c r="AG254" s="147">
        <v>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</row>
    <row r="255" spans="1:59" outlineLevel="1" x14ac:dyDescent="0.25">
      <c r="A255" s="154"/>
      <c r="B255" s="155"/>
      <c r="C255" s="184" t="s">
        <v>504</v>
      </c>
      <c r="D255" s="157"/>
      <c r="E255" s="158">
        <v>268.416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47"/>
      <c r="Y255" s="147"/>
      <c r="Z255" s="147"/>
      <c r="AA255" s="147"/>
      <c r="AB255" s="147"/>
      <c r="AC255" s="147"/>
      <c r="AD255" s="147"/>
      <c r="AE255" s="147"/>
      <c r="AF255" s="147" t="s">
        <v>153</v>
      </c>
      <c r="AG255" s="147">
        <v>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</row>
    <row r="256" spans="1:59" outlineLevel="1" x14ac:dyDescent="0.25">
      <c r="A256" s="154"/>
      <c r="B256" s="155"/>
      <c r="C256" s="184" t="s">
        <v>505</v>
      </c>
      <c r="D256" s="157"/>
      <c r="E256" s="158">
        <v>46.129600000000003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47"/>
      <c r="Y256" s="147"/>
      <c r="Z256" s="147"/>
      <c r="AA256" s="147"/>
      <c r="AB256" s="147"/>
      <c r="AC256" s="147"/>
      <c r="AD256" s="147"/>
      <c r="AE256" s="147"/>
      <c r="AF256" s="147" t="s">
        <v>153</v>
      </c>
      <c r="AG256" s="147">
        <v>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</row>
    <row r="257" spans="1:59" x14ac:dyDescent="0.25">
      <c r="A257" s="160" t="s">
        <v>141</v>
      </c>
      <c r="B257" s="161" t="s">
        <v>109</v>
      </c>
      <c r="C257" s="182" t="s">
        <v>110</v>
      </c>
      <c r="D257" s="162"/>
      <c r="E257" s="163"/>
      <c r="F257" s="164"/>
      <c r="G257" s="164">
        <f>SUMIF(AF258:AF260,"&lt;&gt;NOR",G258:G260)</f>
        <v>0</v>
      </c>
      <c r="H257" s="164"/>
      <c r="I257" s="164">
        <f>SUM(I258:I260)</f>
        <v>0</v>
      </c>
      <c r="J257" s="164"/>
      <c r="K257" s="164">
        <f>SUM(K258:K260)</f>
        <v>4800</v>
      </c>
      <c r="L257" s="164"/>
      <c r="M257" s="164">
        <f>SUM(M258:M260)</f>
        <v>0</v>
      </c>
      <c r="N257" s="164"/>
      <c r="O257" s="164">
        <f>SUM(O258:O260)</f>
        <v>0</v>
      </c>
      <c r="P257" s="164"/>
      <c r="Q257" s="164">
        <f>SUM(Q258:Q260)</f>
        <v>0</v>
      </c>
      <c r="R257" s="164"/>
      <c r="S257" s="165"/>
      <c r="T257" s="159"/>
      <c r="U257" s="159">
        <f>SUM(U258:U260)</f>
        <v>0</v>
      </c>
      <c r="V257" s="159"/>
      <c r="W257" s="159"/>
      <c r="AF257" t="s">
        <v>142</v>
      </c>
    </row>
    <row r="258" spans="1:59" outlineLevel="1" x14ac:dyDescent="0.25">
      <c r="A258" s="166">
        <v>84</v>
      </c>
      <c r="B258" s="167" t="s">
        <v>506</v>
      </c>
      <c r="C258" s="183" t="s">
        <v>507</v>
      </c>
      <c r="D258" s="168" t="s">
        <v>508</v>
      </c>
      <c r="E258" s="169">
        <v>16</v>
      </c>
      <c r="F258" s="170">
        <v>0</v>
      </c>
      <c r="G258" s="171">
        <f>ROUND(E258*F258,2)</f>
        <v>0</v>
      </c>
      <c r="H258" s="170">
        <v>0</v>
      </c>
      <c r="I258" s="171">
        <f>ROUND(E258*H258,2)</f>
        <v>0</v>
      </c>
      <c r="J258" s="170">
        <v>300</v>
      </c>
      <c r="K258" s="171">
        <f>ROUND(E258*J258,2)</f>
        <v>4800</v>
      </c>
      <c r="L258" s="171">
        <v>21</v>
      </c>
      <c r="M258" s="171">
        <f>G258*(1+L258/100)</f>
        <v>0</v>
      </c>
      <c r="N258" s="171">
        <v>0</v>
      </c>
      <c r="O258" s="171">
        <f>ROUND(E258*N258,2)</f>
        <v>0</v>
      </c>
      <c r="P258" s="171">
        <v>0</v>
      </c>
      <c r="Q258" s="171">
        <f>ROUND(E258*P258,2)</f>
        <v>0</v>
      </c>
      <c r="R258" s="171"/>
      <c r="S258" s="172" t="s">
        <v>175</v>
      </c>
      <c r="T258" s="156">
        <v>0</v>
      </c>
      <c r="U258" s="156">
        <f>ROUND(E258*T258,2)</f>
        <v>0</v>
      </c>
      <c r="V258" s="156"/>
      <c r="W258" s="156" t="s">
        <v>148</v>
      </c>
      <c r="X258" s="147"/>
      <c r="Y258" s="147"/>
      <c r="Z258" s="147"/>
      <c r="AA258" s="147"/>
      <c r="AB258" s="147"/>
      <c r="AC258" s="147"/>
      <c r="AD258" s="147"/>
      <c r="AE258" s="147"/>
      <c r="AF258" s="147" t="s">
        <v>149</v>
      </c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</row>
    <row r="259" spans="1:59" ht="20.399999999999999" outlineLevel="1" x14ac:dyDescent="0.25">
      <c r="A259" s="154"/>
      <c r="B259" s="155"/>
      <c r="C259" s="255" t="s">
        <v>850</v>
      </c>
      <c r="D259" s="255"/>
      <c r="E259" s="255"/>
      <c r="F259" s="255"/>
      <c r="G259" s="255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47"/>
      <c r="Y259" s="147"/>
      <c r="Z259" s="147"/>
      <c r="AA259" s="147"/>
      <c r="AB259" s="147"/>
      <c r="AC259" s="147"/>
      <c r="AD259" s="147"/>
      <c r="AE259" s="147"/>
      <c r="AF259" s="147" t="s">
        <v>166</v>
      </c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</row>
    <row r="260" spans="1:59" outlineLevel="1" x14ac:dyDescent="0.25">
      <c r="A260" s="154"/>
      <c r="B260" s="155"/>
      <c r="C260" s="184" t="s">
        <v>509</v>
      </c>
      <c r="D260" s="157"/>
      <c r="E260" s="158">
        <v>16</v>
      </c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47"/>
      <c r="Y260" s="147"/>
      <c r="Z260" s="147"/>
      <c r="AA260" s="147"/>
      <c r="AB260" s="147"/>
      <c r="AC260" s="147"/>
      <c r="AD260" s="147"/>
      <c r="AE260" s="147"/>
      <c r="AF260" s="147" t="s">
        <v>153</v>
      </c>
      <c r="AG260" s="147">
        <v>0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</row>
    <row r="261" spans="1:59" x14ac:dyDescent="0.25">
      <c r="A261" s="160" t="s">
        <v>141</v>
      </c>
      <c r="B261" s="161" t="s">
        <v>111</v>
      </c>
      <c r="C261" s="182" t="s">
        <v>112</v>
      </c>
      <c r="D261" s="162"/>
      <c r="E261" s="163"/>
      <c r="F261" s="164"/>
      <c r="G261" s="164">
        <f>SUMIF(AF262:AF267,"&lt;&gt;NOR",G262:G267)</f>
        <v>0</v>
      </c>
      <c r="H261" s="164"/>
      <c r="I261" s="164">
        <f>SUM(I262:I267)</f>
        <v>0</v>
      </c>
      <c r="J261" s="164"/>
      <c r="K261" s="164">
        <f>SUM(K262:K267)</f>
        <v>1481101.29</v>
      </c>
      <c r="L261" s="164"/>
      <c r="M261" s="164">
        <f>SUM(M262:M267)</f>
        <v>0</v>
      </c>
      <c r="N261" s="164"/>
      <c r="O261" s="164">
        <f>SUM(O262:O267)</f>
        <v>0</v>
      </c>
      <c r="P261" s="164"/>
      <c r="Q261" s="164">
        <f>SUM(Q262:Q267)</f>
        <v>0</v>
      </c>
      <c r="R261" s="164"/>
      <c r="S261" s="165"/>
      <c r="T261" s="159"/>
      <c r="U261" s="159">
        <f>SUM(U262:U267)</f>
        <v>2186.81</v>
      </c>
      <c r="V261" s="159"/>
      <c r="W261" s="159"/>
      <c r="AF261" t="s">
        <v>142</v>
      </c>
    </row>
    <row r="262" spans="1:59" outlineLevel="1" x14ac:dyDescent="0.25">
      <c r="A262" s="166">
        <v>85</v>
      </c>
      <c r="B262" s="167" t="s">
        <v>510</v>
      </c>
      <c r="C262" s="183" t="s">
        <v>511</v>
      </c>
      <c r="D262" s="168" t="s">
        <v>265</v>
      </c>
      <c r="E262" s="169">
        <v>962.50408000000004</v>
      </c>
      <c r="F262" s="170">
        <v>0</v>
      </c>
      <c r="G262" s="171">
        <f>ROUND(E262*F262,2)</f>
        <v>0</v>
      </c>
      <c r="H262" s="170">
        <v>0</v>
      </c>
      <c r="I262" s="171">
        <f>ROUND(E262*H262,2)</f>
        <v>0</v>
      </c>
      <c r="J262" s="170">
        <v>220</v>
      </c>
      <c r="K262" s="171">
        <f>ROUND(E262*J262,2)</f>
        <v>211750.9</v>
      </c>
      <c r="L262" s="171">
        <v>21</v>
      </c>
      <c r="M262" s="171">
        <f>G262*(1+L262/100)</f>
        <v>0</v>
      </c>
      <c r="N262" s="171">
        <v>0</v>
      </c>
      <c r="O262" s="171">
        <f>ROUND(E262*N262,2)</f>
        <v>0</v>
      </c>
      <c r="P262" s="171">
        <v>0</v>
      </c>
      <c r="Q262" s="171">
        <f>ROUND(E262*P262,2)</f>
        <v>0</v>
      </c>
      <c r="R262" s="171" t="s">
        <v>412</v>
      </c>
      <c r="S262" s="172" t="s">
        <v>147</v>
      </c>
      <c r="T262" s="156">
        <v>0.49</v>
      </c>
      <c r="U262" s="156">
        <f>ROUND(E262*T262,2)</f>
        <v>471.63</v>
      </c>
      <c r="V262" s="156"/>
      <c r="W262" s="156" t="s">
        <v>512</v>
      </c>
      <c r="X262" s="147"/>
      <c r="Y262" s="147"/>
      <c r="Z262" s="147"/>
      <c r="AA262" s="147"/>
      <c r="AB262" s="147"/>
      <c r="AC262" s="147"/>
      <c r="AD262" s="147"/>
      <c r="AE262" s="147"/>
      <c r="AF262" s="147" t="s">
        <v>513</v>
      </c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</row>
    <row r="263" spans="1:59" outlineLevel="1" x14ac:dyDescent="0.25">
      <c r="A263" s="154"/>
      <c r="B263" s="155"/>
      <c r="C263" s="255" t="s">
        <v>514</v>
      </c>
      <c r="D263" s="255"/>
      <c r="E263" s="255"/>
      <c r="F263" s="255"/>
      <c r="G263" s="255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47"/>
      <c r="Y263" s="147"/>
      <c r="Z263" s="147"/>
      <c r="AA263" s="147"/>
      <c r="AB263" s="147"/>
      <c r="AC263" s="147"/>
      <c r="AD263" s="147"/>
      <c r="AE263" s="147"/>
      <c r="AF263" s="147" t="s">
        <v>166</v>
      </c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</row>
    <row r="264" spans="1:59" outlineLevel="1" x14ac:dyDescent="0.25">
      <c r="A264" s="174">
        <v>86</v>
      </c>
      <c r="B264" s="175" t="s">
        <v>515</v>
      </c>
      <c r="C264" s="185" t="s">
        <v>516</v>
      </c>
      <c r="D264" s="176" t="s">
        <v>265</v>
      </c>
      <c r="E264" s="177">
        <v>8662.5367299999998</v>
      </c>
      <c r="F264" s="178">
        <v>0</v>
      </c>
      <c r="G264" s="179">
        <f>ROUND(E264*F264,2)</f>
        <v>0</v>
      </c>
      <c r="H264" s="178">
        <v>0</v>
      </c>
      <c r="I264" s="179">
        <f>ROUND(E264*H264,2)</f>
        <v>0</v>
      </c>
      <c r="J264" s="178">
        <v>15.7</v>
      </c>
      <c r="K264" s="179">
        <f>ROUND(E264*J264,2)</f>
        <v>136001.82999999999</v>
      </c>
      <c r="L264" s="179">
        <v>21</v>
      </c>
      <c r="M264" s="179">
        <f>G264*(1+L264/100)</f>
        <v>0</v>
      </c>
      <c r="N264" s="179">
        <v>0</v>
      </c>
      <c r="O264" s="179">
        <f>ROUND(E264*N264,2)</f>
        <v>0</v>
      </c>
      <c r="P264" s="179">
        <v>0</v>
      </c>
      <c r="Q264" s="179">
        <f>ROUND(E264*P264,2)</f>
        <v>0</v>
      </c>
      <c r="R264" s="179" t="s">
        <v>412</v>
      </c>
      <c r="S264" s="180" t="s">
        <v>147</v>
      </c>
      <c r="T264" s="156">
        <v>0</v>
      </c>
      <c r="U264" s="156">
        <f>ROUND(E264*T264,2)</f>
        <v>0</v>
      </c>
      <c r="V264" s="156"/>
      <c r="W264" s="156" t="s">
        <v>512</v>
      </c>
      <c r="X264" s="147"/>
      <c r="Y264" s="147"/>
      <c r="Z264" s="147"/>
      <c r="AA264" s="147"/>
      <c r="AB264" s="147"/>
      <c r="AC264" s="147"/>
      <c r="AD264" s="147"/>
      <c r="AE264" s="147"/>
      <c r="AF264" s="147" t="s">
        <v>513</v>
      </c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</row>
    <row r="265" spans="1:59" outlineLevel="1" x14ac:dyDescent="0.25">
      <c r="A265" s="174">
        <v>87</v>
      </c>
      <c r="B265" s="175" t="s">
        <v>517</v>
      </c>
      <c r="C265" s="185" t="s">
        <v>518</v>
      </c>
      <c r="D265" s="176" t="s">
        <v>265</v>
      </c>
      <c r="E265" s="177">
        <v>962.50408000000004</v>
      </c>
      <c r="F265" s="178">
        <v>0</v>
      </c>
      <c r="G265" s="179">
        <f>ROUND(E265*F265,2)</f>
        <v>0</v>
      </c>
      <c r="H265" s="178">
        <v>0</v>
      </c>
      <c r="I265" s="179">
        <f>ROUND(E265*H265,2)</f>
        <v>0</v>
      </c>
      <c r="J265" s="178">
        <v>305.5</v>
      </c>
      <c r="K265" s="179">
        <f>ROUND(E265*J265,2)</f>
        <v>294045</v>
      </c>
      <c r="L265" s="179">
        <v>21</v>
      </c>
      <c r="M265" s="179">
        <f>G265*(1+L265/100)</f>
        <v>0</v>
      </c>
      <c r="N265" s="179">
        <v>0</v>
      </c>
      <c r="O265" s="179">
        <f>ROUND(E265*N265,2)</f>
        <v>0</v>
      </c>
      <c r="P265" s="179">
        <v>0</v>
      </c>
      <c r="Q265" s="179">
        <f>ROUND(E265*P265,2)</f>
        <v>0</v>
      </c>
      <c r="R265" s="179" t="s">
        <v>412</v>
      </c>
      <c r="S265" s="180" t="s">
        <v>147</v>
      </c>
      <c r="T265" s="156">
        <v>0.94199999999999995</v>
      </c>
      <c r="U265" s="156">
        <f>ROUND(E265*T265,2)</f>
        <v>906.68</v>
      </c>
      <c r="V265" s="156"/>
      <c r="W265" s="156" t="s">
        <v>512</v>
      </c>
      <c r="X265" s="147"/>
      <c r="Y265" s="147"/>
      <c r="Z265" s="147"/>
      <c r="AA265" s="147"/>
      <c r="AB265" s="147"/>
      <c r="AC265" s="147"/>
      <c r="AD265" s="147"/>
      <c r="AE265" s="147"/>
      <c r="AF265" s="147" t="s">
        <v>513</v>
      </c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</row>
    <row r="266" spans="1:59" outlineLevel="1" x14ac:dyDescent="0.25">
      <c r="A266" s="174">
        <v>88</v>
      </c>
      <c r="B266" s="175" t="s">
        <v>519</v>
      </c>
      <c r="C266" s="185" t="s">
        <v>520</v>
      </c>
      <c r="D266" s="176" t="s">
        <v>265</v>
      </c>
      <c r="E266" s="177">
        <v>7700.0326500000001</v>
      </c>
      <c r="F266" s="178">
        <v>0</v>
      </c>
      <c r="G266" s="179">
        <f>ROUND(E266*F266,2)</f>
        <v>0</v>
      </c>
      <c r="H266" s="178">
        <v>0</v>
      </c>
      <c r="I266" s="179">
        <f>ROUND(E266*H266,2)</f>
        <v>0</v>
      </c>
      <c r="J266" s="178">
        <v>34</v>
      </c>
      <c r="K266" s="179">
        <f>ROUND(E266*J266,2)</f>
        <v>261801.11</v>
      </c>
      <c r="L266" s="179">
        <v>21</v>
      </c>
      <c r="M266" s="179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79" t="s">
        <v>412</v>
      </c>
      <c r="S266" s="180" t="s">
        <v>147</v>
      </c>
      <c r="T266" s="156">
        <v>0.105</v>
      </c>
      <c r="U266" s="156">
        <f>ROUND(E266*T266,2)</f>
        <v>808.5</v>
      </c>
      <c r="V266" s="156"/>
      <c r="W266" s="156" t="s">
        <v>512</v>
      </c>
      <c r="X266" s="147"/>
      <c r="Y266" s="147"/>
      <c r="Z266" s="147"/>
      <c r="AA266" s="147"/>
      <c r="AB266" s="147"/>
      <c r="AC266" s="147"/>
      <c r="AD266" s="147"/>
      <c r="AE266" s="147"/>
      <c r="AF266" s="147" t="s">
        <v>513</v>
      </c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</row>
    <row r="267" spans="1:59" outlineLevel="1" x14ac:dyDescent="0.25">
      <c r="A267" s="166">
        <v>89</v>
      </c>
      <c r="B267" s="167" t="s">
        <v>521</v>
      </c>
      <c r="C267" s="183" t="s">
        <v>522</v>
      </c>
      <c r="D267" s="168" t="s">
        <v>265</v>
      </c>
      <c r="E267" s="169">
        <v>962.50408000000004</v>
      </c>
      <c r="F267" s="170">
        <v>0</v>
      </c>
      <c r="G267" s="171">
        <f>ROUND(E267*F267,2)</f>
        <v>0</v>
      </c>
      <c r="H267" s="170">
        <v>0</v>
      </c>
      <c r="I267" s="171">
        <f>ROUND(E267*H267,2)</f>
        <v>0</v>
      </c>
      <c r="J267" s="170">
        <v>600</v>
      </c>
      <c r="K267" s="171">
        <f>ROUND(E267*J267,2)</f>
        <v>577502.44999999995</v>
      </c>
      <c r="L267" s="171">
        <v>21</v>
      </c>
      <c r="M267" s="171">
        <f>G267*(1+L267/100)</f>
        <v>0</v>
      </c>
      <c r="N267" s="171">
        <v>0</v>
      </c>
      <c r="O267" s="171">
        <f>ROUND(E267*N267,2)</f>
        <v>0</v>
      </c>
      <c r="P267" s="171">
        <v>0</v>
      </c>
      <c r="Q267" s="171">
        <f>ROUND(E267*P267,2)</f>
        <v>0</v>
      </c>
      <c r="R267" s="171" t="s">
        <v>412</v>
      </c>
      <c r="S267" s="172" t="s">
        <v>175</v>
      </c>
      <c r="T267" s="156">
        <v>0</v>
      </c>
      <c r="U267" s="156">
        <f>ROUND(E267*T267,2)</f>
        <v>0</v>
      </c>
      <c r="V267" s="156"/>
      <c r="W267" s="156" t="s">
        <v>512</v>
      </c>
      <c r="X267" s="147"/>
      <c r="Y267" s="147"/>
      <c r="Z267" s="147"/>
      <c r="AA267" s="147"/>
      <c r="AB267" s="147"/>
      <c r="AC267" s="147"/>
      <c r="AD267" s="147"/>
      <c r="AE267" s="147"/>
      <c r="AF267" s="147" t="s">
        <v>513</v>
      </c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</row>
    <row r="268" spans="1:59" x14ac:dyDescent="0.25">
      <c r="A268" s="3"/>
      <c r="B268" s="4"/>
      <c r="C268" s="186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AD268">
        <v>15</v>
      </c>
      <c r="AE268">
        <v>21</v>
      </c>
      <c r="AF268" t="s">
        <v>129</v>
      </c>
    </row>
    <row r="269" spans="1:59" x14ac:dyDescent="0.25">
      <c r="A269" s="150"/>
      <c r="B269" s="151" t="s">
        <v>29</v>
      </c>
      <c r="C269" s="187"/>
      <c r="D269" s="152"/>
      <c r="E269" s="153"/>
      <c r="F269" s="153"/>
      <c r="G269" s="181">
        <f>G8+G65+G88+G106+G153+G162+G178+G188+G191+G198+G219+G225+G241+G248+G257+G261</f>
        <v>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AD269">
        <f>SUMIF(L7:L267,AD268,G7:G267)</f>
        <v>0</v>
      </c>
      <c r="AE269">
        <f>SUMIF(L7:L267,AE268,G7:G267)</f>
        <v>0</v>
      </c>
      <c r="AF269" t="s">
        <v>204</v>
      </c>
    </row>
    <row r="270" spans="1:59" x14ac:dyDescent="0.25">
      <c r="C270" s="188"/>
      <c r="D270" s="10"/>
      <c r="AF270" t="s">
        <v>206</v>
      </c>
    </row>
    <row r="271" spans="1:59" x14ac:dyDescent="0.25">
      <c r="A271" t="s">
        <v>855</v>
      </c>
      <c r="D271" s="10"/>
    </row>
    <row r="272" spans="1:59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jgG2fe0NLUp1A3FKVr2/6LIW8QD4tksmlkO/7B2NGJYqkRCj0iyoj4DSFJQbgl/AILNHMo3ZkPDaQXoYtBfIg==" saltValue="J0QJ7jR0jC79DxMgOhjW1g==" spinCount="100000" sheet="1" objects="1" scenarios="1"/>
  <protectedRanges>
    <protectedRange sqref="F9:F267" name="Modra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G5000"/>
  <sheetViews>
    <sheetView zoomScale="50" zoomScaleNormal="50" workbookViewId="0">
      <pane ySplit="7" topLeftCell="A8" activePane="bottomLeft" state="frozen"/>
      <selection pane="bottomLeft" activeCell="AO12" sqref="AO12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63</v>
      </c>
      <c r="C4" s="314" t="s">
        <v>64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75</v>
      </c>
      <c r="C8" s="182" t="s">
        <v>76</v>
      </c>
      <c r="D8" s="162"/>
      <c r="E8" s="163"/>
      <c r="F8" s="164"/>
      <c r="G8" s="164">
        <f>SUMIF(AF9:AF25,"&lt;&gt;NOR",G9:G25)</f>
        <v>0</v>
      </c>
      <c r="H8" s="164"/>
      <c r="I8" s="164">
        <f>SUM(I9:I25)</f>
        <v>0</v>
      </c>
      <c r="J8" s="164"/>
      <c r="K8" s="164">
        <f>SUM(K9:K25)</f>
        <v>10218.23</v>
      </c>
      <c r="L8" s="164"/>
      <c r="M8" s="164">
        <f>SUM(M9:M25)</f>
        <v>0</v>
      </c>
      <c r="N8" s="164"/>
      <c r="O8" s="164">
        <f>SUM(O9:O25)</f>
        <v>0</v>
      </c>
      <c r="P8" s="164"/>
      <c r="Q8" s="164">
        <f>SUM(Q9:Q25)</f>
        <v>0</v>
      </c>
      <c r="R8" s="164"/>
      <c r="S8" s="165"/>
      <c r="T8" s="159"/>
      <c r="U8" s="159">
        <f>SUM(U9:U25)</f>
        <v>7.42</v>
      </c>
      <c r="V8" s="159"/>
      <c r="W8" s="159"/>
      <c r="AF8" t="s">
        <v>142</v>
      </c>
    </row>
    <row r="9" spans="1:59" outlineLevel="1" x14ac:dyDescent="0.25">
      <c r="A9" s="166">
        <v>1</v>
      </c>
      <c r="B9" s="167" t="s">
        <v>230</v>
      </c>
      <c r="C9" s="183" t="s">
        <v>523</v>
      </c>
      <c r="D9" s="168" t="s">
        <v>145</v>
      </c>
      <c r="E9" s="169">
        <v>11.2896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480.5</v>
      </c>
      <c r="K9" s="171">
        <f>ROUND(E9*J9,2)</f>
        <v>5424.65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146</v>
      </c>
      <c r="S9" s="172" t="s">
        <v>147</v>
      </c>
      <c r="T9" s="156">
        <v>0.36499999999999999</v>
      </c>
      <c r="U9" s="156">
        <f>ROUND(E9*T9,2)</f>
        <v>4.12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30.6" outlineLevel="1" x14ac:dyDescent="0.25">
      <c r="A10" s="154"/>
      <c r="B10" s="155"/>
      <c r="C10" s="253" t="s">
        <v>232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151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73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4" t="s">
        <v>524</v>
      </c>
      <c r="D11" s="157"/>
      <c r="E11" s="158">
        <v>11.2896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 t="s">
        <v>153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66">
        <v>2</v>
      </c>
      <c r="B12" s="167" t="s">
        <v>235</v>
      </c>
      <c r="C12" s="183" t="s">
        <v>525</v>
      </c>
      <c r="D12" s="168" t="s">
        <v>145</v>
      </c>
      <c r="E12" s="169">
        <v>5.6448</v>
      </c>
      <c r="F12" s="170">
        <v>0</v>
      </c>
      <c r="G12" s="171">
        <f>ROUND(E12*F12,2)</f>
        <v>0</v>
      </c>
      <c r="H12" s="170">
        <v>0</v>
      </c>
      <c r="I12" s="171">
        <f>ROUND(E12*H12,2)</f>
        <v>0</v>
      </c>
      <c r="J12" s="170">
        <v>164.5</v>
      </c>
      <c r="K12" s="171">
        <f>ROUND(E12*J12,2)</f>
        <v>928.57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 t="s">
        <v>146</v>
      </c>
      <c r="S12" s="172" t="s">
        <v>147</v>
      </c>
      <c r="T12" s="156">
        <v>0.38979999999999998</v>
      </c>
      <c r="U12" s="156">
        <f>ROUND(E12*T12,2)</f>
        <v>2.2000000000000002</v>
      </c>
      <c r="V12" s="156"/>
      <c r="W12" s="156" t="s">
        <v>148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149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30.6" outlineLevel="1" x14ac:dyDescent="0.25">
      <c r="A13" s="154"/>
      <c r="B13" s="155"/>
      <c r="C13" s="253" t="s">
        <v>232</v>
      </c>
      <c r="D13" s="253"/>
      <c r="E13" s="253"/>
      <c r="F13" s="253"/>
      <c r="G13" s="253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151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73" t="str">
        <f>C13</f>
        <v>zapažených i nezapažených s urovnáním dna do předepsaného profilu a spádu, s přehozením výkopku na přilehlém terénu na vzdálenost do 3 m od podélné osy rýhy nebo s naložením výkopku na dopravní prostředek.</v>
      </c>
      <c r="BA13" s="147"/>
      <c r="BB13" s="147"/>
      <c r="BC13" s="147"/>
      <c r="BD13" s="147"/>
      <c r="BE13" s="147"/>
      <c r="BF13" s="147"/>
      <c r="BG13" s="147"/>
    </row>
    <row r="14" spans="1:59" outlineLevel="1" x14ac:dyDescent="0.25">
      <c r="A14" s="154"/>
      <c r="B14" s="155"/>
      <c r="C14" s="184" t="s">
        <v>526</v>
      </c>
      <c r="D14" s="157"/>
      <c r="E14" s="158">
        <v>5.6448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153</v>
      </c>
      <c r="AG14" s="147">
        <v>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66">
        <v>3</v>
      </c>
      <c r="B15" s="167" t="s">
        <v>143</v>
      </c>
      <c r="C15" s="183" t="s">
        <v>144</v>
      </c>
      <c r="D15" s="168" t="s">
        <v>145</v>
      </c>
      <c r="E15" s="169">
        <v>6.51112</v>
      </c>
      <c r="F15" s="170">
        <v>0</v>
      </c>
      <c r="G15" s="171">
        <f>ROUND(E15*F15,2)</f>
        <v>0</v>
      </c>
      <c r="H15" s="170">
        <v>0</v>
      </c>
      <c r="I15" s="171">
        <f>ROUND(E15*H15,2)</f>
        <v>0</v>
      </c>
      <c r="J15" s="170">
        <v>264.5</v>
      </c>
      <c r="K15" s="171">
        <f>ROUND(E15*J15,2)</f>
        <v>1722.19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146</v>
      </c>
      <c r="S15" s="172" t="s">
        <v>147</v>
      </c>
      <c r="T15" s="156">
        <v>1.0999999999999999E-2</v>
      </c>
      <c r="U15" s="156">
        <f>ROUND(E15*T15,2)</f>
        <v>7.0000000000000007E-2</v>
      </c>
      <c r="V15" s="156"/>
      <c r="W15" s="156" t="s">
        <v>148</v>
      </c>
      <c r="X15" s="147"/>
      <c r="Y15" s="147"/>
      <c r="Z15" s="147"/>
      <c r="AA15" s="147"/>
      <c r="AB15" s="147"/>
      <c r="AC15" s="147"/>
      <c r="AD15" s="147"/>
      <c r="AE15" s="147"/>
      <c r="AF15" s="147" t="s">
        <v>149</v>
      </c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54"/>
      <c r="B16" s="155"/>
      <c r="C16" s="253" t="s">
        <v>150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151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184" t="s">
        <v>524</v>
      </c>
      <c r="D17" s="157"/>
      <c r="E17" s="158">
        <v>11.2896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153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184" t="s">
        <v>527</v>
      </c>
      <c r="D18" s="157"/>
      <c r="E18" s="158">
        <v>-4.7784800000000001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153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74">
        <v>4</v>
      </c>
      <c r="B19" s="175" t="s">
        <v>248</v>
      </c>
      <c r="C19" s="185" t="s">
        <v>528</v>
      </c>
      <c r="D19" s="176" t="s">
        <v>145</v>
      </c>
      <c r="E19" s="177">
        <v>6.51112</v>
      </c>
      <c r="F19" s="178">
        <v>0</v>
      </c>
      <c r="G19" s="179">
        <f>ROUND(E19*F19,2)</f>
        <v>0</v>
      </c>
      <c r="H19" s="178">
        <v>0</v>
      </c>
      <c r="I19" s="179">
        <f>ROUND(E19*H19,2)</f>
        <v>0</v>
      </c>
      <c r="J19" s="178">
        <v>16.3</v>
      </c>
      <c r="K19" s="179">
        <f>ROUND(E19*J19,2)</f>
        <v>106.13</v>
      </c>
      <c r="L19" s="179">
        <v>21</v>
      </c>
      <c r="M19" s="179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79" t="s">
        <v>146</v>
      </c>
      <c r="S19" s="180" t="s">
        <v>147</v>
      </c>
      <c r="T19" s="156">
        <v>8.9999999999999993E-3</v>
      </c>
      <c r="U19" s="156">
        <f>ROUND(E19*T19,2)</f>
        <v>0.06</v>
      </c>
      <c r="V19" s="156"/>
      <c r="W19" s="156" t="s">
        <v>148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149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66">
        <v>5</v>
      </c>
      <c r="B20" s="167" t="s">
        <v>250</v>
      </c>
      <c r="C20" s="183" t="s">
        <v>529</v>
      </c>
      <c r="D20" s="168" t="s">
        <v>145</v>
      </c>
      <c r="E20" s="169">
        <v>4.7784800000000001</v>
      </c>
      <c r="F20" s="170">
        <v>0</v>
      </c>
      <c r="G20" s="171">
        <f>ROUND(E20*F20,2)</f>
        <v>0</v>
      </c>
      <c r="H20" s="170">
        <v>0</v>
      </c>
      <c r="I20" s="171">
        <f>ROUND(E20*H20,2)</f>
        <v>0</v>
      </c>
      <c r="J20" s="170">
        <v>121</v>
      </c>
      <c r="K20" s="171">
        <f>ROUND(E20*J20,2)</f>
        <v>578.20000000000005</v>
      </c>
      <c r="L20" s="171">
        <v>21</v>
      </c>
      <c r="M20" s="171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1" t="s">
        <v>146</v>
      </c>
      <c r="S20" s="172" t="s">
        <v>147</v>
      </c>
      <c r="T20" s="156">
        <v>0.20200000000000001</v>
      </c>
      <c r="U20" s="156">
        <f>ROUND(E20*T20,2)</f>
        <v>0.97</v>
      </c>
      <c r="V20" s="156"/>
      <c r="W20" s="156" t="s">
        <v>148</v>
      </c>
      <c r="X20" s="147"/>
      <c r="Y20" s="147"/>
      <c r="Z20" s="147"/>
      <c r="AA20" s="147"/>
      <c r="AB20" s="147"/>
      <c r="AC20" s="147"/>
      <c r="AD20" s="147"/>
      <c r="AE20" s="147"/>
      <c r="AF20" s="147" t="s">
        <v>149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54"/>
      <c r="B21" s="155"/>
      <c r="C21" s="253" t="s">
        <v>252</v>
      </c>
      <c r="D21" s="253"/>
      <c r="E21" s="253"/>
      <c r="F21" s="253"/>
      <c r="G21" s="253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47"/>
      <c r="Y21" s="147"/>
      <c r="Z21" s="147"/>
      <c r="AA21" s="147"/>
      <c r="AB21" s="147"/>
      <c r="AC21" s="147"/>
      <c r="AD21" s="147"/>
      <c r="AE21" s="147"/>
      <c r="AF21" s="147" t="s">
        <v>151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5">
      <c r="A22" s="154"/>
      <c r="B22" s="155"/>
      <c r="C22" s="254" t="s">
        <v>253</v>
      </c>
      <c r="D22" s="254"/>
      <c r="E22" s="254"/>
      <c r="F22" s="254"/>
      <c r="G22" s="254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166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54"/>
      <c r="B23" s="155"/>
      <c r="C23" s="184" t="s">
        <v>530</v>
      </c>
      <c r="D23" s="157"/>
      <c r="E23" s="158">
        <v>4.7784800000000001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47"/>
      <c r="Y23" s="147"/>
      <c r="Z23" s="147"/>
      <c r="AA23" s="147"/>
      <c r="AB23" s="147"/>
      <c r="AC23" s="147"/>
      <c r="AD23" s="147"/>
      <c r="AE23" s="147"/>
      <c r="AF23" s="147" t="s">
        <v>153</v>
      </c>
      <c r="AG23" s="147">
        <v>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66">
        <v>6</v>
      </c>
      <c r="B24" s="167" t="s">
        <v>263</v>
      </c>
      <c r="C24" s="183" t="s">
        <v>531</v>
      </c>
      <c r="D24" s="168" t="s">
        <v>265</v>
      </c>
      <c r="E24" s="169">
        <v>10.41779</v>
      </c>
      <c r="F24" s="170">
        <v>0</v>
      </c>
      <c r="G24" s="171">
        <f>ROUND(E24*F24,2)</f>
        <v>0</v>
      </c>
      <c r="H24" s="170">
        <v>0</v>
      </c>
      <c r="I24" s="171">
        <f>ROUND(E24*H24,2)</f>
        <v>0</v>
      </c>
      <c r="J24" s="170">
        <v>140</v>
      </c>
      <c r="K24" s="171">
        <f>ROUND(E24*J24,2)</f>
        <v>1458.49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 t="s">
        <v>146</v>
      </c>
      <c r="S24" s="172" t="s">
        <v>147</v>
      </c>
      <c r="T24" s="156">
        <v>0</v>
      </c>
      <c r="U24" s="156">
        <f>ROUND(E24*T24,2)</f>
        <v>0</v>
      </c>
      <c r="V24" s="156"/>
      <c r="W24" s="156" t="s">
        <v>148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149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outlineLevel="1" x14ac:dyDescent="0.25">
      <c r="A25" s="154"/>
      <c r="B25" s="155"/>
      <c r="C25" s="184" t="s">
        <v>532</v>
      </c>
      <c r="D25" s="157"/>
      <c r="E25" s="158">
        <v>10.41779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153</v>
      </c>
      <c r="AG25" s="147">
        <v>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x14ac:dyDescent="0.25">
      <c r="A26" s="160" t="s">
        <v>141</v>
      </c>
      <c r="B26" s="161" t="s">
        <v>77</v>
      </c>
      <c r="C26" s="182" t="s">
        <v>78</v>
      </c>
      <c r="D26" s="162"/>
      <c r="E26" s="163"/>
      <c r="F26" s="164"/>
      <c r="G26" s="164">
        <f>SUMIF(AF27:AF29,"&lt;&gt;NOR",G27:G29)</f>
        <v>0</v>
      </c>
      <c r="H26" s="164"/>
      <c r="I26" s="164">
        <f>SUM(I27:I29)</f>
        <v>4531.51</v>
      </c>
      <c r="J26" s="164"/>
      <c r="K26" s="164">
        <f>SUM(K27:K29)</f>
        <v>613.32000000000005</v>
      </c>
      <c r="L26" s="164"/>
      <c r="M26" s="164">
        <f>SUM(M27:M29)</f>
        <v>0</v>
      </c>
      <c r="N26" s="164"/>
      <c r="O26" s="164">
        <f>SUM(O27:O29)</f>
        <v>5.6</v>
      </c>
      <c r="P26" s="164"/>
      <c r="Q26" s="164">
        <f>SUM(Q27:Q29)</f>
        <v>0</v>
      </c>
      <c r="R26" s="164"/>
      <c r="S26" s="165"/>
      <c r="T26" s="159"/>
      <c r="U26" s="159">
        <f>SUM(U27:U29)</f>
        <v>1.06</v>
      </c>
      <c r="V26" s="159"/>
      <c r="W26" s="159"/>
      <c r="AF26" t="s">
        <v>142</v>
      </c>
    </row>
    <row r="27" spans="1:59" outlineLevel="1" x14ac:dyDescent="0.25">
      <c r="A27" s="166">
        <v>7</v>
      </c>
      <c r="B27" s="167" t="s">
        <v>267</v>
      </c>
      <c r="C27" s="183" t="s">
        <v>533</v>
      </c>
      <c r="D27" s="168" t="s">
        <v>145</v>
      </c>
      <c r="E27" s="169">
        <v>2.2176</v>
      </c>
      <c r="F27" s="170">
        <v>0</v>
      </c>
      <c r="G27" s="171">
        <f>ROUND(E27*F27,2)</f>
        <v>0</v>
      </c>
      <c r="H27" s="170">
        <v>2043.43</v>
      </c>
      <c r="I27" s="171">
        <f>ROUND(E27*H27,2)</f>
        <v>4531.51</v>
      </c>
      <c r="J27" s="170">
        <v>276.57</v>
      </c>
      <c r="K27" s="171">
        <f>ROUND(E27*J27,2)</f>
        <v>613.32000000000005</v>
      </c>
      <c r="L27" s="171">
        <v>21</v>
      </c>
      <c r="M27" s="171">
        <f>G27*(1+L27/100)</f>
        <v>0</v>
      </c>
      <c r="N27" s="171">
        <v>2.5249999999999999</v>
      </c>
      <c r="O27" s="171">
        <f>ROUND(E27*N27,2)</f>
        <v>5.6</v>
      </c>
      <c r="P27" s="171">
        <v>0</v>
      </c>
      <c r="Q27" s="171">
        <f>ROUND(E27*P27,2)</f>
        <v>0</v>
      </c>
      <c r="R27" s="171" t="s">
        <v>269</v>
      </c>
      <c r="S27" s="172" t="s">
        <v>147</v>
      </c>
      <c r="T27" s="156">
        <v>0.47699999999999998</v>
      </c>
      <c r="U27" s="156">
        <f>ROUND(E27*T27,2)</f>
        <v>1.06</v>
      </c>
      <c r="V27" s="156"/>
      <c r="W27" s="156" t="s">
        <v>148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149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54"/>
      <c r="B28" s="155"/>
      <c r="C28" s="253" t="s">
        <v>270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 t="s">
        <v>151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54"/>
      <c r="B29" s="155"/>
      <c r="C29" s="184" t="s">
        <v>534</v>
      </c>
      <c r="D29" s="157"/>
      <c r="E29" s="158">
        <v>2.2176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 t="s">
        <v>153</v>
      </c>
      <c r="AG29" s="147">
        <v>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x14ac:dyDescent="0.25">
      <c r="A30" s="160" t="s">
        <v>141</v>
      </c>
      <c r="B30" s="161" t="s">
        <v>79</v>
      </c>
      <c r="C30" s="182" t="s">
        <v>80</v>
      </c>
      <c r="D30" s="162"/>
      <c r="E30" s="163"/>
      <c r="F30" s="164"/>
      <c r="G30" s="164">
        <f>SUMIF(AF31:AF43,"&lt;&gt;NOR",G31:G43)</f>
        <v>0</v>
      </c>
      <c r="H30" s="164"/>
      <c r="I30" s="164">
        <f>SUM(I31:I43)</f>
        <v>52428.229999999996</v>
      </c>
      <c r="J30" s="164"/>
      <c r="K30" s="164">
        <f>SUM(K31:K43)</f>
        <v>34574.089999999997</v>
      </c>
      <c r="L30" s="164"/>
      <c r="M30" s="164">
        <f>SUM(M31:M43)</f>
        <v>0</v>
      </c>
      <c r="N30" s="164"/>
      <c r="O30" s="164">
        <f>SUM(O31:O43)</f>
        <v>20.340000000000003</v>
      </c>
      <c r="P30" s="164"/>
      <c r="Q30" s="164">
        <f>SUM(Q31:Q43)</f>
        <v>0</v>
      </c>
      <c r="R30" s="164"/>
      <c r="S30" s="165"/>
      <c r="T30" s="159"/>
      <c r="U30" s="159">
        <f>SUM(U31:U43)</f>
        <v>69.440000000000012</v>
      </c>
      <c r="V30" s="159"/>
      <c r="W30" s="159"/>
      <c r="AF30" t="s">
        <v>142</v>
      </c>
    </row>
    <row r="31" spans="1:59" ht="20.399999999999999" outlineLevel="1" x14ac:dyDescent="0.25">
      <c r="A31" s="166">
        <v>8</v>
      </c>
      <c r="B31" s="167" t="s">
        <v>298</v>
      </c>
      <c r="C31" s="183" t="s">
        <v>535</v>
      </c>
      <c r="D31" s="168" t="s">
        <v>145</v>
      </c>
      <c r="E31" s="169">
        <v>6.5982000000000003</v>
      </c>
      <c r="F31" s="170">
        <v>0</v>
      </c>
      <c r="G31" s="171">
        <f>ROUND(E31*F31,2)</f>
        <v>0</v>
      </c>
      <c r="H31" s="170">
        <v>2573.59</v>
      </c>
      <c r="I31" s="171">
        <f>ROUND(E31*H31,2)</f>
        <v>16981.060000000001</v>
      </c>
      <c r="J31" s="170">
        <v>586.41</v>
      </c>
      <c r="K31" s="171">
        <f>ROUND(E31*J31,2)</f>
        <v>3869.25</v>
      </c>
      <c r="L31" s="171">
        <v>21</v>
      </c>
      <c r="M31" s="171">
        <f>G31*(1+L31/100)</f>
        <v>0</v>
      </c>
      <c r="N31" s="171">
        <v>2.5301300000000002</v>
      </c>
      <c r="O31" s="171">
        <f>ROUND(E31*N31,2)</f>
        <v>16.690000000000001</v>
      </c>
      <c r="P31" s="171">
        <v>0</v>
      </c>
      <c r="Q31" s="171">
        <f>ROUND(E31*P31,2)</f>
        <v>0</v>
      </c>
      <c r="R31" s="171" t="s">
        <v>269</v>
      </c>
      <c r="S31" s="172" t="s">
        <v>147</v>
      </c>
      <c r="T31" s="156">
        <v>1.212</v>
      </c>
      <c r="U31" s="156">
        <f>ROUND(E31*T31,2)</f>
        <v>8</v>
      </c>
      <c r="V31" s="156"/>
      <c r="W31" s="156" t="s">
        <v>148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149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21" outlineLevel="1" x14ac:dyDescent="0.25">
      <c r="A32" s="154"/>
      <c r="B32" s="155"/>
      <c r="C32" s="253" t="s">
        <v>300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151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73" t="str">
        <f>C32</f>
        <v>nosných, výplňových, obkladových, půdních, štítových, poprsních apod. (bez výztuže), s pomocným lešením o výšce podlahy do 1900 mm a pro zatížení 1,5 kPa,</v>
      </c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54"/>
      <c r="B33" s="155"/>
      <c r="C33" s="184" t="s">
        <v>536</v>
      </c>
      <c r="D33" s="157"/>
      <c r="E33" s="158">
        <v>6.5982000000000003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 t="s">
        <v>153</v>
      </c>
      <c r="AG33" s="147">
        <v>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20.399999999999999" outlineLevel="1" x14ac:dyDescent="0.25">
      <c r="A34" s="166">
        <v>9</v>
      </c>
      <c r="B34" s="167" t="s">
        <v>304</v>
      </c>
      <c r="C34" s="183" t="s">
        <v>537</v>
      </c>
      <c r="D34" s="168" t="s">
        <v>158</v>
      </c>
      <c r="E34" s="169">
        <v>45.744</v>
      </c>
      <c r="F34" s="170">
        <v>0</v>
      </c>
      <c r="G34" s="171">
        <f>ROUND(E34*F34,2)</f>
        <v>0</v>
      </c>
      <c r="H34" s="170">
        <v>272.33</v>
      </c>
      <c r="I34" s="171">
        <f>ROUND(E34*H34,2)</f>
        <v>12457.46</v>
      </c>
      <c r="J34" s="170">
        <v>287.67</v>
      </c>
      <c r="K34" s="171">
        <f>ROUND(E34*J34,2)</f>
        <v>13159.18</v>
      </c>
      <c r="L34" s="171">
        <v>21</v>
      </c>
      <c r="M34" s="171">
        <f>G34*(1+L34/100)</f>
        <v>0</v>
      </c>
      <c r="N34" s="171">
        <v>6.0310000000000002E-2</v>
      </c>
      <c r="O34" s="171">
        <f>ROUND(E34*N34,2)</f>
        <v>2.76</v>
      </c>
      <c r="P34" s="171">
        <v>0</v>
      </c>
      <c r="Q34" s="171">
        <f>ROUND(E34*P34,2)</f>
        <v>0</v>
      </c>
      <c r="R34" s="171" t="s">
        <v>269</v>
      </c>
      <c r="S34" s="172" t="s">
        <v>306</v>
      </c>
      <c r="T34" s="156">
        <v>0.65</v>
      </c>
      <c r="U34" s="156">
        <f>ROUND(E34*T34,2)</f>
        <v>29.73</v>
      </c>
      <c r="V34" s="156"/>
      <c r="W34" s="156" t="s">
        <v>148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149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30.6" outlineLevel="1" x14ac:dyDescent="0.25">
      <c r="A35" s="154"/>
      <c r="B35" s="155"/>
      <c r="C35" s="253" t="s">
        <v>307</v>
      </c>
      <c r="D35" s="253"/>
      <c r="E35" s="253"/>
      <c r="F35" s="253"/>
      <c r="G35" s="253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47"/>
      <c r="Y35" s="147"/>
      <c r="Z35" s="147"/>
      <c r="AA35" s="147"/>
      <c r="AB35" s="147"/>
      <c r="AC35" s="147"/>
      <c r="AD35" s="147"/>
      <c r="AE35" s="147"/>
      <c r="AF35" s="147" t="s">
        <v>151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73" t="str">
        <f>C35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54"/>
      <c r="B36" s="155"/>
      <c r="C36" s="184" t="s">
        <v>538</v>
      </c>
      <c r="D36" s="157"/>
      <c r="E36" s="158">
        <v>45.744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47"/>
      <c r="Y36" s="147"/>
      <c r="Z36" s="147"/>
      <c r="AA36" s="147"/>
      <c r="AB36" s="147"/>
      <c r="AC36" s="147"/>
      <c r="AD36" s="147"/>
      <c r="AE36" s="147"/>
      <c r="AF36" s="147" t="s">
        <v>153</v>
      </c>
      <c r="AG36" s="147">
        <v>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20.399999999999999" outlineLevel="1" x14ac:dyDescent="0.25">
      <c r="A37" s="166">
        <v>10</v>
      </c>
      <c r="B37" s="167" t="s">
        <v>311</v>
      </c>
      <c r="C37" s="183" t="s">
        <v>539</v>
      </c>
      <c r="D37" s="168" t="s">
        <v>158</v>
      </c>
      <c r="E37" s="169">
        <v>45.744</v>
      </c>
      <c r="F37" s="170">
        <v>0</v>
      </c>
      <c r="G37" s="171">
        <f>ROUND(E37*F37,2)</f>
        <v>0</v>
      </c>
      <c r="H37" s="170">
        <v>0</v>
      </c>
      <c r="I37" s="171">
        <f>ROUND(E37*H37,2)</f>
        <v>0</v>
      </c>
      <c r="J37" s="170">
        <v>224</v>
      </c>
      <c r="K37" s="171">
        <f>ROUND(E37*J37,2)</f>
        <v>10246.66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269</v>
      </c>
      <c r="S37" s="172" t="s">
        <v>147</v>
      </c>
      <c r="T37" s="156">
        <v>0.35</v>
      </c>
      <c r="U37" s="156">
        <f>ROUND(E37*T37,2)</f>
        <v>16.010000000000002</v>
      </c>
      <c r="V37" s="156"/>
      <c r="W37" s="156" t="s">
        <v>148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149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30.6" outlineLevel="1" x14ac:dyDescent="0.25">
      <c r="A38" s="154"/>
      <c r="B38" s="155"/>
      <c r="C38" s="253" t="s">
        <v>307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47"/>
      <c r="Y38" s="147"/>
      <c r="Z38" s="147"/>
      <c r="AA38" s="147"/>
      <c r="AB38" s="147"/>
      <c r="AC38" s="147"/>
      <c r="AD38" s="147"/>
      <c r="AE38" s="147"/>
      <c r="AF38" s="147" t="s">
        <v>151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73" t="str">
        <f>C38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66">
        <v>11</v>
      </c>
      <c r="B39" s="167" t="s">
        <v>313</v>
      </c>
      <c r="C39" s="183" t="s">
        <v>540</v>
      </c>
      <c r="D39" s="168" t="s">
        <v>315</v>
      </c>
      <c r="E39" s="169">
        <v>2</v>
      </c>
      <c r="F39" s="170">
        <v>0</v>
      </c>
      <c r="G39" s="171">
        <f>ROUND(E39*F39,2)</f>
        <v>0</v>
      </c>
      <c r="H39" s="170">
        <v>388.1</v>
      </c>
      <c r="I39" s="171">
        <f>ROUND(E39*H39,2)</f>
        <v>776.2</v>
      </c>
      <c r="J39" s="170">
        <v>919.9</v>
      </c>
      <c r="K39" s="171">
        <f>ROUND(E39*J39,2)</f>
        <v>1839.8</v>
      </c>
      <c r="L39" s="171">
        <v>21</v>
      </c>
      <c r="M39" s="171">
        <f>G39*(1+L39/100)</f>
        <v>0</v>
      </c>
      <c r="N39" s="171">
        <v>2.3380000000000001E-2</v>
      </c>
      <c r="O39" s="171">
        <f>ROUND(E39*N39,2)</f>
        <v>0.05</v>
      </c>
      <c r="P39" s="171">
        <v>0</v>
      </c>
      <c r="Q39" s="171">
        <f>ROUND(E39*P39,2)</f>
        <v>0</v>
      </c>
      <c r="R39" s="171" t="s">
        <v>269</v>
      </c>
      <c r="S39" s="172" t="s">
        <v>147</v>
      </c>
      <c r="T39" s="156">
        <v>1.82</v>
      </c>
      <c r="U39" s="156">
        <f>ROUND(E39*T39,2)</f>
        <v>3.64</v>
      </c>
      <c r="V39" s="156"/>
      <c r="W39" s="156" t="s">
        <v>148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149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30.6" outlineLevel="1" x14ac:dyDescent="0.25">
      <c r="A40" s="154"/>
      <c r="B40" s="155"/>
      <c r="C40" s="253" t="s">
        <v>307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151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73" t="str">
        <f>C40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66">
        <v>12</v>
      </c>
      <c r="B41" s="167" t="s">
        <v>316</v>
      </c>
      <c r="C41" s="183" t="s">
        <v>541</v>
      </c>
      <c r="D41" s="168" t="s">
        <v>265</v>
      </c>
      <c r="E41" s="169">
        <v>0.79178000000000004</v>
      </c>
      <c r="F41" s="170">
        <v>0</v>
      </c>
      <c r="G41" s="171">
        <f>ROUND(E41*F41,2)</f>
        <v>0</v>
      </c>
      <c r="H41" s="170">
        <v>28055.16</v>
      </c>
      <c r="I41" s="171">
        <f>ROUND(E41*H41,2)</f>
        <v>22213.51</v>
      </c>
      <c r="J41" s="170">
        <v>6894.84</v>
      </c>
      <c r="K41" s="171">
        <f>ROUND(E41*J41,2)</f>
        <v>5459.2</v>
      </c>
      <c r="L41" s="171">
        <v>21</v>
      </c>
      <c r="M41" s="171">
        <f>G41*(1+L41/100)</f>
        <v>0</v>
      </c>
      <c r="N41" s="171">
        <v>1.05758</v>
      </c>
      <c r="O41" s="171">
        <f>ROUND(E41*N41,2)</f>
        <v>0.84</v>
      </c>
      <c r="P41" s="171">
        <v>0</v>
      </c>
      <c r="Q41" s="171">
        <f>ROUND(E41*P41,2)</f>
        <v>0</v>
      </c>
      <c r="R41" s="171" t="s">
        <v>269</v>
      </c>
      <c r="S41" s="172" t="s">
        <v>147</v>
      </c>
      <c r="T41" s="156">
        <v>15.231</v>
      </c>
      <c r="U41" s="156">
        <f>ROUND(E41*T41,2)</f>
        <v>12.06</v>
      </c>
      <c r="V41" s="156"/>
      <c r="W41" s="156" t="s">
        <v>148</v>
      </c>
      <c r="X41" s="147"/>
      <c r="Y41" s="147"/>
      <c r="Z41" s="147"/>
      <c r="AA41" s="147"/>
      <c r="AB41" s="147"/>
      <c r="AC41" s="147"/>
      <c r="AD41" s="147"/>
      <c r="AE41" s="147"/>
      <c r="AF41" s="147" t="s">
        <v>149</v>
      </c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outlineLevel="1" x14ac:dyDescent="0.25">
      <c r="A42" s="154"/>
      <c r="B42" s="155"/>
      <c r="C42" s="253" t="s">
        <v>318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47"/>
      <c r="Y42" s="147"/>
      <c r="Z42" s="147"/>
      <c r="AA42" s="147"/>
      <c r="AB42" s="147"/>
      <c r="AC42" s="147"/>
      <c r="AD42" s="147"/>
      <c r="AE42" s="147"/>
      <c r="AF42" s="147" t="s">
        <v>151</v>
      </c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outlineLevel="1" x14ac:dyDescent="0.25">
      <c r="A43" s="154"/>
      <c r="B43" s="155"/>
      <c r="C43" s="184" t="s">
        <v>542</v>
      </c>
      <c r="D43" s="157"/>
      <c r="E43" s="158">
        <v>0.79178000000000004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47"/>
      <c r="Y43" s="147"/>
      <c r="Z43" s="147"/>
      <c r="AA43" s="147"/>
      <c r="AB43" s="147"/>
      <c r="AC43" s="147"/>
      <c r="AD43" s="147"/>
      <c r="AE43" s="147"/>
      <c r="AF43" s="147" t="s">
        <v>153</v>
      </c>
      <c r="AG43" s="147">
        <v>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x14ac:dyDescent="0.25">
      <c r="A44" s="160" t="s">
        <v>141</v>
      </c>
      <c r="B44" s="161" t="s">
        <v>83</v>
      </c>
      <c r="C44" s="182" t="s">
        <v>84</v>
      </c>
      <c r="D44" s="162"/>
      <c r="E44" s="163"/>
      <c r="F44" s="164"/>
      <c r="G44" s="164">
        <f>SUMIF(AF45:AF47,"&lt;&gt;NOR",G45:G47)</f>
        <v>0</v>
      </c>
      <c r="H44" s="164"/>
      <c r="I44" s="164">
        <f>SUM(I45:I47)</f>
        <v>46.97</v>
      </c>
      <c r="J44" s="164"/>
      <c r="K44" s="164">
        <f>SUM(K45:K47)</f>
        <v>2340.9499999999998</v>
      </c>
      <c r="L44" s="164"/>
      <c r="M44" s="164">
        <f>SUM(M45:M47)</f>
        <v>0</v>
      </c>
      <c r="N44" s="164"/>
      <c r="O44" s="164">
        <f>SUM(O45:O47)</f>
        <v>0.04</v>
      </c>
      <c r="P44" s="164"/>
      <c r="Q44" s="164">
        <f>SUM(Q45:Q47)</f>
        <v>0</v>
      </c>
      <c r="R44" s="164"/>
      <c r="S44" s="165"/>
      <c r="T44" s="159"/>
      <c r="U44" s="159">
        <f>SUM(U45:U47)</f>
        <v>4.7300000000000004</v>
      </c>
      <c r="V44" s="159"/>
      <c r="W44" s="159"/>
      <c r="AF44" t="s">
        <v>142</v>
      </c>
    </row>
    <row r="45" spans="1:59" outlineLevel="1" x14ac:dyDescent="0.25">
      <c r="A45" s="166">
        <v>13</v>
      </c>
      <c r="B45" s="167" t="s">
        <v>380</v>
      </c>
      <c r="C45" s="183" t="s">
        <v>381</v>
      </c>
      <c r="D45" s="168" t="s">
        <v>158</v>
      </c>
      <c r="E45" s="169">
        <v>15.71</v>
      </c>
      <c r="F45" s="170">
        <v>0</v>
      </c>
      <c r="G45" s="171">
        <f>ROUND(E45*F45,2)</f>
        <v>0</v>
      </c>
      <c r="H45" s="170">
        <v>2.99</v>
      </c>
      <c r="I45" s="171">
        <f>ROUND(E45*H45,2)</f>
        <v>46.97</v>
      </c>
      <c r="J45" s="170">
        <v>149.01</v>
      </c>
      <c r="K45" s="171">
        <f>ROUND(E45*J45,2)</f>
        <v>2340.9499999999998</v>
      </c>
      <c r="L45" s="171">
        <v>21</v>
      </c>
      <c r="M45" s="171">
        <f>G45*(1+L45/100)</f>
        <v>0</v>
      </c>
      <c r="N45" s="171">
        <v>2.5100000000000001E-3</v>
      </c>
      <c r="O45" s="171">
        <f>ROUND(E45*N45,2)</f>
        <v>0.04</v>
      </c>
      <c r="P45" s="171">
        <v>0</v>
      </c>
      <c r="Q45" s="171">
        <f>ROUND(E45*P45,2)</f>
        <v>0</v>
      </c>
      <c r="R45" s="171" t="s">
        <v>269</v>
      </c>
      <c r="S45" s="172" t="s">
        <v>147</v>
      </c>
      <c r="T45" s="156">
        <v>0.30099999999999999</v>
      </c>
      <c r="U45" s="156">
        <f>ROUND(E45*T45,2)</f>
        <v>4.7300000000000004</v>
      </c>
      <c r="V45" s="156"/>
      <c r="W45" s="156" t="s">
        <v>148</v>
      </c>
      <c r="X45" s="147"/>
      <c r="Y45" s="147"/>
      <c r="Z45" s="147"/>
      <c r="AA45" s="147"/>
      <c r="AB45" s="147"/>
      <c r="AC45" s="147"/>
      <c r="AD45" s="147"/>
      <c r="AE45" s="147"/>
      <c r="AF45" s="147" t="s">
        <v>149</v>
      </c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outlineLevel="1" x14ac:dyDescent="0.25">
      <c r="A46" s="154"/>
      <c r="B46" s="155"/>
      <c r="C46" s="253" t="s">
        <v>382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47"/>
      <c r="Y46" s="147"/>
      <c r="Z46" s="147"/>
      <c r="AA46" s="147"/>
      <c r="AB46" s="147"/>
      <c r="AC46" s="147"/>
      <c r="AD46" s="147"/>
      <c r="AE46" s="147"/>
      <c r="AF46" s="147" t="s">
        <v>151</v>
      </c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outlineLevel="1" x14ac:dyDescent="0.25">
      <c r="A47" s="154"/>
      <c r="B47" s="155"/>
      <c r="C47" s="184" t="s">
        <v>543</v>
      </c>
      <c r="D47" s="157"/>
      <c r="E47" s="158">
        <v>15.71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47"/>
      <c r="Y47" s="147"/>
      <c r="Z47" s="147"/>
      <c r="AA47" s="147"/>
      <c r="AB47" s="147"/>
      <c r="AC47" s="147"/>
      <c r="AD47" s="147"/>
      <c r="AE47" s="147"/>
      <c r="AF47" s="147" t="s">
        <v>153</v>
      </c>
      <c r="AG47" s="147">
        <v>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x14ac:dyDescent="0.25">
      <c r="A48" s="160" t="s">
        <v>141</v>
      </c>
      <c r="B48" s="161" t="s">
        <v>89</v>
      </c>
      <c r="C48" s="182" t="s">
        <v>90</v>
      </c>
      <c r="D48" s="162"/>
      <c r="E48" s="163"/>
      <c r="F48" s="164"/>
      <c r="G48" s="164">
        <f>SUMIF(AF49:AF50,"&lt;&gt;NOR",G49:G50)</f>
        <v>0</v>
      </c>
      <c r="H48" s="164"/>
      <c r="I48" s="164">
        <f>SUM(I49:I50)</f>
        <v>0</v>
      </c>
      <c r="J48" s="164"/>
      <c r="K48" s="164">
        <f>SUM(K49:K50)</f>
        <v>4636.74</v>
      </c>
      <c r="L48" s="164"/>
      <c r="M48" s="164">
        <f>SUM(M49:M50)</f>
        <v>0</v>
      </c>
      <c r="N48" s="164"/>
      <c r="O48" s="164">
        <f>SUM(O49:O50)</f>
        <v>0</v>
      </c>
      <c r="P48" s="164"/>
      <c r="Q48" s="164">
        <f>SUM(Q49:Q50)</f>
        <v>0</v>
      </c>
      <c r="R48" s="164"/>
      <c r="S48" s="165"/>
      <c r="T48" s="159"/>
      <c r="U48" s="159">
        <f>SUM(U49:U50)</f>
        <v>2.2599999999999998</v>
      </c>
      <c r="V48" s="159"/>
      <c r="W48" s="159"/>
      <c r="AF48" t="s">
        <v>142</v>
      </c>
    </row>
    <row r="49" spans="1:59" outlineLevel="1" x14ac:dyDescent="0.25">
      <c r="A49" s="166">
        <v>14</v>
      </c>
      <c r="B49" s="167" t="s">
        <v>421</v>
      </c>
      <c r="C49" s="183" t="s">
        <v>422</v>
      </c>
      <c r="D49" s="168" t="s">
        <v>265</v>
      </c>
      <c r="E49" s="169">
        <v>25.976130000000001</v>
      </c>
      <c r="F49" s="170">
        <v>0</v>
      </c>
      <c r="G49" s="171">
        <f>ROUND(E49*F49,2)</f>
        <v>0</v>
      </c>
      <c r="H49" s="170">
        <v>0</v>
      </c>
      <c r="I49" s="171">
        <f>ROUND(E49*H49,2)</f>
        <v>0</v>
      </c>
      <c r="J49" s="170">
        <v>178.5</v>
      </c>
      <c r="K49" s="171">
        <f>ROUND(E49*J49,2)</f>
        <v>4636.74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423</v>
      </c>
      <c r="S49" s="172" t="s">
        <v>147</v>
      </c>
      <c r="T49" s="156">
        <v>8.6999999999999994E-2</v>
      </c>
      <c r="U49" s="156">
        <f>ROUND(E49*T49,2)</f>
        <v>2.2599999999999998</v>
      </c>
      <c r="V49" s="156"/>
      <c r="W49" s="156" t="s">
        <v>424</v>
      </c>
      <c r="X49" s="147"/>
      <c r="Y49" s="147"/>
      <c r="Z49" s="147"/>
      <c r="AA49" s="147"/>
      <c r="AB49" s="147"/>
      <c r="AC49" s="147"/>
      <c r="AD49" s="147"/>
      <c r="AE49" s="147"/>
      <c r="AF49" s="147" t="s">
        <v>425</v>
      </c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outlineLevel="1" x14ac:dyDescent="0.25">
      <c r="A50" s="154"/>
      <c r="B50" s="155"/>
      <c r="C50" s="253" t="s">
        <v>426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47"/>
      <c r="Y50" s="147"/>
      <c r="Z50" s="147"/>
      <c r="AA50" s="147"/>
      <c r="AB50" s="147"/>
      <c r="AC50" s="147"/>
      <c r="AD50" s="147"/>
      <c r="AE50" s="147"/>
      <c r="AF50" s="147" t="s">
        <v>151</v>
      </c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x14ac:dyDescent="0.25">
      <c r="A51" s="160" t="s">
        <v>141</v>
      </c>
      <c r="B51" s="161" t="s">
        <v>91</v>
      </c>
      <c r="C51" s="182" t="s">
        <v>92</v>
      </c>
      <c r="D51" s="162"/>
      <c r="E51" s="163"/>
      <c r="F51" s="164"/>
      <c r="G51" s="164">
        <f>SUMIF(AF52:AF57,"&lt;&gt;NOR",G52:G57)</f>
        <v>0</v>
      </c>
      <c r="H51" s="164"/>
      <c r="I51" s="164">
        <f>SUM(I52:I57)</f>
        <v>7338.49</v>
      </c>
      <c r="J51" s="164"/>
      <c r="K51" s="164">
        <f>SUM(K52:K57)</f>
        <v>7169.12</v>
      </c>
      <c r="L51" s="164"/>
      <c r="M51" s="164">
        <f>SUM(M52:M57)</f>
        <v>0</v>
      </c>
      <c r="N51" s="164"/>
      <c r="O51" s="164">
        <f>SUM(O52:O57)</f>
        <v>0.04</v>
      </c>
      <c r="P51" s="164"/>
      <c r="Q51" s="164">
        <f>SUM(Q52:Q57)</f>
        <v>0</v>
      </c>
      <c r="R51" s="164"/>
      <c r="S51" s="165"/>
      <c r="T51" s="159"/>
      <c r="U51" s="159">
        <f>SUM(U52:U57)</f>
        <v>14.940000000000001</v>
      </c>
      <c r="V51" s="159"/>
      <c r="W51" s="159"/>
      <c r="AF51" t="s">
        <v>142</v>
      </c>
    </row>
    <row r="52" spans="1:59" outlineLevel="1" x14ac:dyDescent="0.25">
      <c r="A52" s="166">
        <v>15</v>
      </c>
      <c r="B52" s="167" t="s">
        <v>427</v>
      </c>
      <c r="C52" s="183" t="s">
        <v>544</v>
      </c>
      <c r="D52" s="168" t="s">
        <v>158</v>
      </c>
      <c r="E52" s="169">
        <v>57.18</v>
      </c>
      <c r="F52" s="170">
        <v>0</v>
      </c>
      <c r="G52" s="171">
        <f>ROUND(E52*F52,2)</f>
        <v>0</v>
      </c>
      <c r="H52" s="170">
        <v>29.7</v>
      </c>
      <c r="I52" s="171">
        <f>ROUND(E52*H52,2)</f>
        <v>1698.25</v>
      </c>
      <c r="J52" s="170">
        <v>76.8</v>
      </c>
      <c r="K52" s="171">
        <f>ROUND(E52*J52,2)</f>
        <v>4391.42</v>
      </c>
      <c r="L52" s="171">
        <v>21</v>
      </c>
      <c r="M52" s="171">
        <f>G52*(1+L52/100)</f>
        <v>0</v>
      </c>
      <c r="N52" s="171">
        <v>2.3000000000000001E-4</v>
      </c>
      <c r="O52" s="171">
        <f>ROUND(E52*N52,2)</f>
        <v>0.01</v>
      </c>
      <c r="P52" s="171">
        <v>0</v>
      </c>
      <c r="Q52" s="171">
        <f>ROUND(E52*P52,2)</f>
        <v>0</v>
      </c>
      <c r="R52" s="171" t="s">
        <v>428</v>
      </c>
      <c r="S52" s="172" t="s">
        <v>147</v>
      </c>
      <c r="T52" s="156">
        <v>0.16</v>
      </c>
      <c r="U52" s="156">
        <f>ROUND(E52*T52,2)</f>
        <v>9.15</v>
      </c>
      <c r="V52" s="156"/>
      <c r="W52" s="156" t="s">
        <v>148</v>
      </c>
      <c r="X52" s="147"/>
      <c r="Y52" s="147"/>
      <c r="Z52" s="147"/>
      <c r="AA52" s="147"/>
      <c r="AB52" s="147"/>
      <c r="AC52" s="147"/>
      <c r="AD52" s="147"/>
      <c r="AE52" s="147"/>
      <c r="AF52" s="147" t="s">
        <v>149</v>
      </c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outlineLevel="1" x14ac:dyDescent="0.25">
      <c r="A53" s="154"/>
      <c r="B53" s="155"/>
      <c r="C53" s="184" t="s">
        <v>545</v>
      </c>
      <c r="D53" s="157"/>
      <c r="E53" s="158">
        <v>57.18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47"/>
      <c r="Y53" s="147"/>
      <c r="Z53" s="147"/>
      <c r="AA53" s="147"/>
      <c r="AB53" s="147"/>
      <c r="AC53" s="147"/>
      <c r="AD53" s="147"/>
      <c r="AE53" s="147"/>
      <c r="AF53" s="147" t="s">
        <v>153</v>
      </c>
      <c r="AG53" s="147">
        <v>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outlineLevel="1" x14ac:dyDescent="0.25">
      <c r="A54" s="166">
        <v>16</v>
      </c>
      <c r="B54" s="167" t="s">
        <v>430</v>
      </c>
      <c r="C54" s="183" t="s">
        <v>546</v>
      </c>
      <c r="D54" s="168" t="s">
        <v>335</v>
      </c>
      <c r="E54" s="169">
        <v>57.18</v>
      </c>
      <c r="F54" s="170">
        <v>0</v>
      </c>
      <c r="G54" s="171">
        <f>ROUND(E54*F54,2)</f>
        <v>0</v>
      </c>
      <c r="H54" s="170">
        <v>98.64</v>
      </c>
      <c r="I54" s="171">
        <f>ROUND(E54*H54,2)</f>
        <v>5640.24</v>
      </c>
      <c r="J54" s="170">
        <v>47.86</v>
      </c>
      <c r="K54" s="171">
        <f>ROUND(E54*J54,2)</f>
        <v>2736.63</v>
      </c>
      <c r="L54" s="171">
        <v>21</v>
      </c>
      <c r="M54" s="171">
        <f>G54*(1+L54/100)</f>
        <v>0</v>
      </c>
      <c r="N54" s="171">
        <v>5.2999999999999998E-4</v>
      </c>
      <c r="O54" s="171">
        <f>ROUND(E54*N54,2)</f>
        <v>0.03</v>
      </c>
      <c r="P54" s="171">
        <v>0</v>
      </c>
      <c r="Q54" s="171">
        <f>ROUND(E54*P54,2)</f>
        <v>0</v>
      </c>
      <c r="R54" s="171" t="s">
        <v>428</v>
      </c>
      <c r="S54" s="172" t="s">
        <v>147</v>
      </c>
      <c r="T54" s="156">
        <v>0.1</v>
      </c>
      <c r="U54" s="156">
        <f>ROUND(E54*T54,2)</f>
        <v>5.72</v>
      </c>
      <c r="V54" s="156"/>
      <c r="W54" s="156" t="s">
        <v>148</v>
      </c>
      <c r="X54" s="147"/>
      <c r="Y54" s="147"/>
      <c r="Z54" s="147"/>
      <c r="AA54" s="147"/>
      <c r="AB54" s="147"/>
      <c r="AC54" s="147"/>
      <c r="AD54" s="147"/>
      <c r="AE54" s="147"/>
      <c r="AF54" s="147" t="s">
        <v>149</v>
      </c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outlineLevel="1" x14ac:dyDescent="0.25">
      <c r="A55" s="154"/>
      <c r="B55" s="155"/>
      <c r="C55" s="184" t="s">
        <v>547</v>
      </c>
      <c r="D55" s="157"/>
      <c r="E55" s="158">
        <v>57.18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47"/>
      <c r="Y55" s="147"/>
      <c r="Z55" s="147"/>
      <c r="AA55" s="147"/>
      <c r="AB55" s="147"/>
      <c r="AC55" s="147"/>
      <c r="AD55" s="147"/>
      <c r="AE55" s="147"/>
      <c r="AF55" s="147" t="s">
        <v>153</v>
      </c>
      <c r="AG55" s="147">
        <v>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outlineLevel="1" x14ac:dyDescent="0.25">
      <c r="A56" s="166">
        <v>17</v>
      </c>
      <c r="B56" s="167" t="s">
        <v>432</v>
      </c>
      <c r="C56" s="183" t="s">
        <v>548</v>
      </c>
      <c r="D56" s="168" t="s">
        <v>265</v>
      </c>
      <c r="E56" s="169">
        <v>4.3459999999999999E-2</v>
      </c>
      <c r="F56" s="170">
        <v>0</v>
      </c>
      <c r="G56" s="171">
        <f>ROUND(E56*F56,2)</f>
        <v>0</v>
      </c>
      <c r="H56" s="170">
        <v>0</v>
      </c>
      <c r="I56" s="171">
        <f>ROUND(E56*H56,2)</f>
        <v>0</v>
      </c>
      <c r="J56" s="170">
        <v>945</v>
      </c>
      <c r="K56" s="171">
        <f>ROUND(E56*J56,2)</f>
        <v>41.07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 t="s">
        <v>428</v>
      </c>
      <c r="S56" s="172" t="s">
        <v>147</v>
      </c>
      <c r="T56" s="156">
        <v>1.5669999999999999</v>
      </c>
      <c r="U56" s="156">
        <f>ROUND(E56*T56,2)</f>
        <v>7.0000000000000007E-2</v>
      </c>
      <c r="V56" s="156"/>
      <c r="W56" s="156" t="s">
        <v>424</v>
      </c>
      <c r="X56" s="147"/>
      <c r="Y56" s="147"/>
      <c r="Z56" s="147"/>
      <c r="AA56" s="147"/>
      <c r="AB56" s="147"/>
      <c r="AC56" s="147"/>
      <c r="AD56" s="147"/>
      <c r="AE56" s="147"/>
      <c r="AF56" s="147" t="s">
        <v>425</v>
      </c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20.399999999999999" outlineLevel="1" x14ac:dyDescent="0.25">
      <c r="A57" s="154"/>
      <c r="B57" s="155"/>
      <c r="C57" s="253" t="s">
        <v>434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47"/>
      <c r="Y57" s="147"/>
      <c r="Z57" s="147"/>
      <c r="AA57" s="147"/>
      <c r="AB57" s="147"/>
      <c r="AC57" s="147"/>
      <c r="AD57" s="147"/>
      <c r="AE57" s="147"/>
      <c r="AF57" s="147" t="s">
        <v>151</v>
      </c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x14ac:dyDescent="0.25">
      <c r="A58" s="160" t="s">
        <v>141</v>
      </c>
      <c r="B58" s="161" t="s">
        <v>95</v>
      </c>
      <c r="C58" s="182" t="s">
        <v>96</v>
      </c>
      <c r="D58" s="162"/>
      <c r="E58" s="163"/>
      <c r="F58" s="164"/>
      <c r="G58" s="164">
        <f>SUMIF(AF59:AF72,"&lt;&gt;NOR",G59:G72)</f>
        <v>0</v>
      </c>
      <c r="H58" s="164"/>
      <c r="I58" s="164">
        <f>SUM(I59:I72)</f>
        <v>89344.39</v>
      </c>
      <c r="J58" s="164"/>
      <c r="K58" s="164">
        <f>SUM(K59:K72)</f>
        <v>27405.23</v>
      </c>
      <c r="L58" s="164"/>
      <c r="M58" s="164">
        <f>SUM(M59:M72)</f>
        <v>0</v>
      </c>
      <c r="N58" s="164"/>
      <c r="O58" s="164">
        <f>SUM(O59:O72)</f>
        <v>2.44</v>
      </c>
      <c r="P58" s="164"/>
      <c r="Q58" s="164">
        <f>SUM(Q59:Q72)</f>
        <v>0</v>
      </c>
      <c r="R58" s="164"/>
      <c r="S58" s="165"/>
      <c r="T58" s="159"/>
      <c r="U58" s="159">
        <f>SUM(U59:U72)</f>
        <v>48.379999999999995</v>
      </c>
      <c r="V58" s="159"/>
      <c r="W58" s="159"/>
      <c r="AF58" t="s">
        <v>142</v>
      </c>
    </row>
    <row r="59" spans="1:59" ht="20.399999999999999" outlineLevel="1" x14ac:dyDescent="0.25">
      <c r="A59" s="166">
        <v>18</v>
      </c>
      <c r="B59" s="167" t="s">
        <v>435</v>
      </c>
      <c r="C59" s="183" t="s">
        <v>549</v>
      </c>
      <c r="D59" s="168" t="s">
        <v>158</v>
      </c>
      <c r="E59" s="169">
        <v>37.68</v>
      </c>
      <c r="F59" s="170">
        <v>0</v>
      </c>
      <c r="G59" s="171">
        <f>ROUND(E59*F59,2)</f>
        <v>0</v>
      </c>
      <c r="H59" s="170">
        <v>0</v>
      </c>
      <c r="I59" s="171">
        <f>ROUND(E59*H59,2)</f>
        <v>0</v>
      </c>
      <c r="J59" s="170">
        <v>176.5</v>
      </c>
      <c r="K59" s="171">
        <f>ROUND(E59*J59,2)</f>
        <v>6650.52</v>
      </c>
      <c r="L59" s="171">
        <v>21</v>
      </c>
      <c r="M59" s="171">
        <f>G59*(1+L59/100)</f>
        <v>0</v>
      </c>
      <c r="N59" s="171">
        <v>0</v>
      </c>
      <c r="O59" s="171">
        <f>ROUND(E59*N59,2)</f>
        <v>0</v>
      </c>
      <c r="P59" s="171">
        <v>0</v>
      </c>
      <c r="Q59" s="171">
        <f>ROUND(E59*P59,2)</f>
        <v>0</v>
      </c>
      <c r="R59" s="171" t="s">
        <v>437</v>
      </c>
      <c r="S59" s="172" t="s">
        <v>147</v>
      </c>
      <c r="T59" s="156">
        <v>0.34100000000000003</v>
      </c>
      <c r="U59" s="156">
        <f>ROUND(E59*T59,2)</f>
        <v>12.85</v>
      </c>
      <c r="V59" s="156"/>
      <c r="W59" s="156" t="s">
        <v>148</v>
      </c>
      <c r="X59" s="147"/>
      <c r="Y59" s="147"/>
      <c r="Z59" s="147"/>
      <c r="AA59" s="147"/>
      <c r="AB59" s="147"/>
      <c r="AC59" s="147"/>
      <c r="AD59" s="147"/>
      <c r="AE59" s="147"/>
      <c r="AF59" s="147" t="s">
        <v>149</v>
      </c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outlineLevel="1" x14ac:dyDescent="0.25">
      <c r="A60" s="154"/>
      <c r="B60" s="155"/>
      <c r="C60" s="184" t="s">
        <v>550</v>
      </c>
      <c r="D60" s="157"/>
      <c r="E60" s="158">
        <v>37.68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47"/>
      <c r="Y60" s="147"/>
      <c r="Z60" s="147"/>
      <c r="AA60" s="147"/>
      <c r="AB60" s="147"/>
      <c r="AC60" s="147"/>
      <c r="AD60" s="147"/>
      <c r="AE60" s="147"/>
      <c r="AF60" s="147" t="s">
        <v>153</v>
      </c>
      <c r="AG60" s="147">
        <v>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outlineLevel="1" x14ac:dyDescent="0.25">
      <c r="A61" s="166">
        <v>19</v>
      </c>
      <c r="B61" s="167" t="s">
        <v>441</v>
      </c>
      <c r="C61" s="183" t="s">
        <v>442</v>
      </c>
      <c r="D61" s="168" t="s">
        <v>145</v>
      </c>
      <c r="E61" s="169">
        <v>2.2608000000000001</v>
      </c>
      <c r="F61" s="170">
        <v>0</v>
      </c>
      <c r="G61" s="171">
        <f>ROUND(E61*F61,2)</f>
        <v>0</v>
      </c>
      <c r="H61" s="170">
        <v>192.5</v>
      </c>
      <c r="I61" s="171">
        <f>ROUND(E61*H61,2)</f>
        <v>435.2</v>
      </c>
      <c r="J61" s="170">
        <v>0</v>
      </c>
      <c r="K61" s="171">
        <f>ROUND(E61*J61,2)</f>
        <v>0</v>
      </c>
      <c r="L61" s="171">
        <v>21</v>
      </c>
      <c r="M61" s="171">
        <f>G61*(1+L61/100)</f>
        <v>0</v>
      </c>
      <c r="N61" s="171">
        <v>2.9499999999999999E-3</v>
      </c>
      <c r="O61" s="171">
        <f>ROUND(E61*N61,2)</f>
        <v>0.01</v>
      </c>
      <c r="P61" s="171">
        <v>0</v>
      </c>
      <c r="Q61" s="171">
        <f>ROUND(E61*P61,2)</f>
        <v>0</v>
      </c>
      <c r="R61" s="171" t="s">
        <v>437</v>
      </c>
      <c r="S61" s="172" t="s">
        <v>147</v>
      </c>
      <c r="T61" s="156">
        <v>0</v>
      </c>
      <c r="U61" s="156">
        <f>ROUND(E61*T61,2)</f>
        <v>0</v>
      </c>
      <c r="V61" s="156"/>
      <c r="W61" s="156" t="s">
        <v>148</v>
      </c>
      <c r="X61" s="147"/>
      <c r="Y61" s="147"/>
      <c r="Z61" s="147"/>
      <c r="AA61" s="147"/>
      <c r="AB61" s="147"/>
      <c r="AC61" s="147"/>
      <c r="AD61" s="147"/>
      <c r="AE61" s="147"/>
      <c r="AF61" s="147" t="s">
        <v>149</v>
      </c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outlineLevel="1" x14ac:dyDescent="0.25">
      <c r="A62" s="154"/>
      <c r="B62" s="155"/>
      <c r="C62" s="184" t="s">
        <v>551</v>
      </c>
      <c r="D62" s="157"/>
      <c r="E62" s="158">
        <v>2.2608000000000001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47"/>
      <c r="Y62" s="147"/>
      <c r="Z62" s="147"/>
      <c r="AA62" s="147"/>
      <c r="AB62" s="147"/>
      <c r="AC62" s="147"/>
      <c r="AD62" s="147"/>
      <c r="AE62" s="147"/>
      <c r="AF62" s="147" t="s">
        <v>153</v>
      </c>
      <c r="AG62" s="147">
        <v>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outlineLevel="1" x14ac:dyDescent="0.25">
      <c r="A63" s="166">
        <v>20</v>
      </c>
      <c r="B63" s="167" t="s">
        <v>446</v>
      </c>
      <c r="C63" s="183" t="s">
        <v>552</v>
      </c>
      <c r="D63" s="168" t="s">
        <v>335</v>
      </c>
      <c r="E63" s="169">
        <v>63.18</v>
      </c>
      <c r="F63" s="170">
        <v>0</v>
      </c>
      <c r="G63" s="171">
        <f>ROUND(E63*F63,2)</f>
        <v>0</v>
      </c>
      <c r="H63" s="170">
        <v>6.85</v>
      </c>
      <c r="I63" s="171">
        <f>ROUND(E63*H63,2)</f>
        <v>432.78</v>
      </c>
      <c r="J63" s="170">
        <v>274.14999999999998</v>
      </c>
      <c r="K63" s="171">
        <f>ROUND(E63*J63,2)</f>
        <v>17320.8</v>
      </c>
      <c r="L63" s="171">
        <v>21</v>
      </c>
      <c r="M63" s="171">
        <f>G63*(1+L63/100)</f>
        <v>0</v>
      </c>
      <c r="N63" s="171">
        <v>2.5500000000000002E-3</v>
      </c>
      <c r="O63" s="171">
        <f>ROUND(E63*N63,2)</f>
        <v>0.16</v>
      </c>
      <c r="P63" s="171">
        <v>0</v>
      </c>
      <c r="Q63" s="171">
        <f>ROUND(E63*P63,2)</f>
        <v>0</v>
      </c>
      <c r="R63" s="171" t="s">
        <v>437</v>
      </c>
      <c r="S63" s="172" t="s">
        <v>147</v>
      </c>
      <c r="T63" s="156">
        <v>0.495</v>
      </c>
      <c r="U63" s="156">
        <f>ROUND(E63*T63,2)</f>
        <v>31.27</v>
      </c>
      <c r="V63" s="156"/>
      <c r="W63" s="156" t="s">
        <v>148</v>
      </c>
      <c r="X63" s="147"/>
      <c r="Y63" s="147"/>
      <c r="Z63" s="147"/>
      <c r="AA63" s="147"/>
      <c r="AB63" s="147"/>
      <c r="AC63" s="147"/>
      <c r="AD63" s="147"/>
      <c r="AE63" s="147"/>
      <c r="AF63" s="147" t="s">
        <v>149</v>
      </c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outlineLevel="1" x14ac:dyDescent="0.25">
      <c r="A64" s="154"/>
      <c r="B64" s="155"/>
      <c r="C64" s="253" t="s">
        <v>448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47"/>
      <c r="Y64" s="147"/>
      <c r="Z64" s="147"/>
      <c r="AA64" s="147"/>
      <c r="AB64" s="147"/>
      <c r="AC64" s="147"/>
      <c r="AD64" s="147"/>
      <c r="AE64" s="147"/>
      <c r="AF64" s="147" t="s">
        <v>151</v>
      </c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outlineLevel="1" x14ac:dyDescent="0.25">
      <c r="A65" s="154"/>
      <c r="B65" s="155"/>
      <c r="C65" s="184" t="s">
        <v>553</v>
      </c>
      <c r="D65" s="157"/>
      <c r="E65" s="158">
        <v>63.18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47"/>
      <c r="Y65" s="147"/>
      <c r="Z65" s="147"/>
      <c r="AA65" s="147"/>
      <c r="AB65" s="147"/>
      <c r="AC65" s="147"/>
      <c r="AD65" s="147"/>
      <c r="AE65" s="147"/>
      <c r="AF65" s="147" t="s">
        <v>153</v>
      </c>
      <c r="AG65" s="147">
        <v>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outlineLevel="1" x14ac:dyDescent="0.25">
      <c r="A66" s="166">
        <v>21</v>
      </c>
      <c r="B66" s="167" t="s">
        <v>450</v>
      </c>
      <c r="C66" s="183" t="s">
        <v>554</v>
      </c>
      <c r="D66" s="168" t="s">
        <v>145</v>
      </c>
      <c r="E66" s="169">
        <v>0.63180000000000003</v>
      </c>
      <c r="F66" s="170">
        <v>0</v>
      </c>
      <c r="G66" s="171">
        <f>ROUND(E66*F66,2)</f>
        <v>0</v>
      </c>
      <c r="H66" s="170">
        <v>873</v>
      </c>
      <c r="I66" s="171">
        <f>ROUND(E66*H66,2)</f>
        <v>551.55999999999995</v>
      </c>
      <c r="J66" s="170">
        <v>0</v>
      </c>
      <c r="K66" s="171">
        <f>ROUND(E66*J66,2)</f>
        <v>0</v>
      </c>
      <c r="L66" s="171">
        <v>21</v>
      </c>
      <c r="M66" s="171">
        <f>G66*(1+L66/100)</f>
        <v>0</v>
      </c>
      <c r="N66" s="171">
        <v>2.9100000000000001E-2</v>
      </c>
      <c r="O66" s="171">
        <f>ROUND(E66*N66,2)</f>
        <v>0.02</v>
      </c>
      <c r="P66" s="171">
        <v>0</v>
      </c>
      <c r="Q66" s="171">
        <f>ROUND(E66*P66,2)</f>
        <v>0</v>
      </c>
      <c r="R66" s="171" t="s">
        <v>437</v>
      </c>
      <c r="S66" s="172" t="s">
        <v>147</v>
      </c>
      <c r="T66" s="156">
        <v>0</v>
      </c>
      <c r="U66" s="156">
        <f>ROUND(E66*T66,2)</f>
        <v>0</v>
      </c>
      <c r="V66" s="156"/>
      <c r="W66" s="156" t="s">
        <v>148</v>
      </c>
      <c r="X66" s="147"/>
      <c r="Y66" s="147"/>
      <c r="Z66" s="147"/>
      <c r="AA66" s="147"/>
      <c r="AB66" s="147"/>
      <c r="AC66" s="147"/>
      <c r="AD66" s="147"/>
      <c r="AE66" s="147"/>
      <c r="AF66" s="147" t="s">
        <v>149</v>
      </c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outlineLevel="1" x14ac:dyDescent="0.25">
      <c r="A67" s="154"/>
      <c r="B67" s="155"/>
      <c r="C67" s="184" t="s">
        <v>555</v>
      </c>
      <c r="D67" s="157"/>
      <c r="E67" s="158">
        <v>0.63180000000000003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47"/>
      <c r="Y67" s="147"/>
      <c r="Z67" s="147"/>
      <c r="AA67" s="147"/>
      <c r="AB67" s="147"/>
      <c r="AC67" s="147"/>
      <c r="AD67" s="147"/>
      <c r="AE67" s="147"/>
      <c r="AF67" s="147" t="s">
        <v>153</v>
      </c>
      <c r="AG67" s="147">
        <v>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outlineLevel="1" x14ac:dyDescent="0.25">
      <c r="A68" s="166">
        <v>22</v>
      </c>
      <c r="B68" s="167" t="s">
        <v>453</v>
      </c>
      <c r="C68" s="183" t="s">
        <v>454</v>
      </c>
      <c r="D68" s="168" t="s">
        <v>145</v>
      </c>
      <c r="E68" s="169">
        <v>3.40794</v>
      </c>
      <c r="F68" s="170">
        <v>0</v>
      </c>
      <c r="G68" s="171">
        <f>ROUND(E68*F68,2)</f>
        <v>0</v>
      </c>
      <c r="H68" s="170">
        <v>25800</v>
      </c>
      <c r="I68" s="171">
        <f>ROUND(E68*H68,2)</f>
        <v>87924.85</v>
      </c>
      <c r="J68" s="170">
        <v>0</v>
      </c>
      <c r="K68" s="171">
        <f>ROUND(E68*J68,2)</f>
        <v>0</v>
      </c>
      <c r="L68" s="171">
        <v>21</v>
      </c>
      <c r="M68" s="171">
        <f>G68*(1+L68/100)</f>
        <v>0</v>
      </c>
      <c r="N68" s="171">
        <v>0.66</v>
      </c>
      <c r="O68" s="171">
        <f>ROUND(E68*N68,2)</f>
        <v>2.25</v>
      </c>
      <c r="P68" s="171">
        <v>0</v>
      </c>
      <c r="Q68" s="171">
        <f>ROUND(E68*P68,2)</f>
        <v>0</v>
      </c>
      <c r="R68" s="171"/>
      <c r="S68" s="172" t="s">
        <v>175</v>
      </c>
      <c r="T68" s="156">
        <v>0</v>
      </c>
      <c r="U68" s="156">
        <f>ROUND(E68*T68,2)</f>
        <v>0</v>
      </c>
      <c r="V68" s="156"/>
      <c r="W68" s="156" t="s">
        <v>170</v>
      </c>
      <c r="X68" s="147"/>
      <c r="Y68" s="147"/>
      <c r="Z68" s="147"/>
      <c r="AA68" s="147"/>
      <c r="AB68" s="147"/>
      <c r="AC68" s="147"/>
      <c r="AD68" s="147"/>
      <c r="AE68" s="147"/>
      <c r="AF68" s="147" t="s">
        <v>171</v>
      </c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outlineLevel="1" x14ac:dyDescent="0.25">
      <c r="A69" s="154"/>
      <c r="B69" s="155"/>
      <c r="C69" s="184" t="s">
        <v>556</v>
      </c>
      <c r="D69" s="157"/>
      <c r="E69" s="158">
        <v>2.7129599999999998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47"/>
      <c r="Y69" s="147"/>
      <c r="Z69" s="147"/>
      <c r="AA69" s="147"/>
      <c r="AB69" s="147"/>
      <c r="AC69" s="147"/>
      <c r="AD69" s="147"/>
      <c r="AE69" s="147"/>
      <c r="AF69" s="147" t="s">
        <v>153</v>
      </c>
      <c r="AG69" s="147">
        <v>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20.399999999999999" outlineLevel="1" x14ac:dyDescent="0.25">
      <c r="A70" s="154"/>
      <c r="B70" s="155"/>
      <c r="C70" s="184" t="s">
        <v>557</v>
      </c>
      <c r="D70" s="157"/>
      <c r="E70" s="158">
        <v>0.69498000000000004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47"/>
      <c r="Y70" s="147"/>
      <c r="Z70" s="147"/>
      <c r="AA70" s="147"/>
      <c r="AB70" s="147"/>
      <c r="AC70" s="147"/>
      <c r="AD70" s="147"/>
      <c r="AE70" s="147"/>
      <c r="AF70" s="147" t="s">
        <v>153</v>
      </c>
      <c r="AG70" s="147">
        <v>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outlineLevel="1" x14ac:dyDescent="0.25">
      <c r="A71" s="166">
        <v>23</v>
      </c>
      <c r="B71" s="167" t="s">
        <v>459</v>
      </c>
      <c r="C71" s="183" t="s">
        <v>558</v>
      </c>
      <c r="D71" s="168" t="s">
        <v>265</v>
      </c>
      <c r="E71" s="169">
        <v>2.4354</v>
      </c>
      <c r="F71" s="170">
        <v>0</v>
      </c>
      <c r="G71" s="171">
        <f>ROUND(E71*F71,2)</f>
        <v>0</v>
      </c>
      <c r="H71" s="170">
        <v>0</v>
      </c>
      <c r="I71" s="171">
        <f>ROUND(E71*H71,2)</f>
        <v>0</v>
      </c>
      <c r="J71" s="170">
        <v>1410</v>
      </c>
      <c r="K71" s="171">
        <f>ROUND(E71*J71,2)</f>
        <v>3433.91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437</v>
      </c>
      <c r="S71" s="172" t="s">
        <v>147</v>
      </c>
      <c r="T71" s="156">
        <v>1.7509999999999999</v>
      </c>
      <c r="U71" s="156">
        <f>ROUND(E71*T71,2)</f>
        <v>4.26</v>
      </c>
      <c r="V71" s="156"/>
      <c r="W71" s="156" t="s">
        <v>424</v>
      </c>
      <c r="X71" s="147"/>
      <c r="Y71" s="147"/>
      <c r="Z71" s="147"/>
      <c r="AA71" s="147"/>
      <c r="AB71" s="147"/>
      <c r="AC71" s="147"/>
      <c r="AD71" s="147"/>
      <c r="AE71" s="147"/>
      <c r="AF71" s="147" t="s">
        <v>425</v>
      </c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outlineLevel="1" x14ac:dyDescent="0.25">
      <c r="A72" s="154"/>
      <c r="B72" s="155"/>
      <c r="C72" s="253" t="s">
        <v>461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47"/>
      <c r="Y72" s="147"/>
      <c r="Z72" s="147"/>
      <c r="AA72" s="147"/>
      <c r="AB72" s="147"/>
      <c r="AC72" s="147"/>
      <c r="AD72" s="147"/>
      <c r="AE72" s="147"/>
      <c r="AF72" s="147" t="s">
        <v>151</v>
      </c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x14ac:dyDescent="0.25">
      <c r="A73" s="160" t="s">
        <v>141</v>
      </c>
      <c r="B73" s="161" t="s">
        <v>103</v>
      </c>
      <c r="C73" s="182" t="s">
        <v>104</v>
      </c>
      <c r="D73" s="162"/>
      <c r="E73" s="163"/>
      <c r="F73" s="164"/>
      <c r="G73" s="164">
        <f>SUMIF(AF74:AF76,"&lt;&gt;NOR",G74:G76)</f>
        <v>0</v>
      </c>
      <c r="H73" s="164"/>
      <c r="I73" s="164">
        <f>SUM(I74:I76)</f>
        <v>3721.92</v>
      </c>
      <c r="J73" s="164"/>
      <c r="K73" s="164">
        <f>SUM(K74:K76)</f>
        <v>15076.84</v>
      </c>
      <c r="L73" s="164"/>
      <c r="M73" s="164">
        <f>SUM(M74:M76)</f>
        <v>0</v>
      </c>
      <c r="N73" s="164"/>
      <c r="O73" s="164">
        <f>SUM(O74:O76)</f>
        <v>0.03</v>
      </c>
      <c r="P73" s="164"/>
      <c r="Q73" s="164">
        <f>SUM(Q74:Q76)</f>
        <v>0</v>
      </c>
      <c r="R73" s="164"/>
      <c r="S73" s="165"/>
      <c r="T73" s="159"/>
      <c r="U73" s="159">
        <f>SUM(U74:U76)</f>
        <v>34.29</v>
      </c>
      <c r="V73" s="159"/>
      <c r="W73" s="159"/>
      <c r="AF73" t="s">
        <v>142</v>
      </c>
    </row>
    <row r="74" spans="1:59" outlineLevel="1" x14ac:dyDescent="0.25">
      <c r="A74" s="166">
        <v>24</v>
      </c>
      <c r="B74" s="167" t="s">
        <v>501</v>
      </c>
      <c r="C74" s="183" t="s">
        <v>502</v>
      </c>
      <c r="D74" s="168" t="s">
        <v>158</v>
      </c>
      <c r="E74" s="169">
        <v>118.2312</v>
      </c>
      <c r="F74" s="170">
        <v>0</v>
      </c>
      <c r="G74" s="171">
        <f>ROUND(E74*F74,2)</f>
        <v>0</v>
      </c>
      <c r="H74" s="170">
        <v>31.48</v>
      </c>
      <c r="I74" s="171">
        <f>ROUND(E74*H74,2)</f>
        <v>3721.92</v>
      </c>
      <c r="J74" s="170">
        <v>127.52</v>
      </c>
      <c r="K74" s="171">
        <f>ROUND(E74*J74,2)</f>
        <v>15076.84</v>
      </c>
      <c r="L74" s="171">
        <v>21</v>
      </c>
      <c r="M74" s="171">
        <f>G74*(1+L74/100)</f>
        <v>0</v>
      </c>
      <c r="N74" s="171">
        <v>2.7E-4</v>
      </c>
      <c r="O74" s="171">
        <f>ROUND(E74*N74,2)</f>
        <v>0.03</v>
      </c>
      <c r="P74" s="171">
        <v>0</v>
      </c>
      <c r="Q74" s="171">
        <f>ROUND(E74*P74,2)</f>
        <v>0</v>
      </c>
      <c r="R74" s="171" t="s">
        <v>497</v>
      </c>
      <c r="S74" s="172" t="s">
        <v>147</v>
      </c>
      <c r="T74" s="156">
        <v>0.28999999999999998</v>
      </c>
      <c r="U74" s="156">
        <f>ROUND(E74*T74,2)</f>
        <v>34.29</v>
      </c>
      <c r="V74" s="156"/>
      <c r="W74" s="156" t="s">
        <v>148</v>
      </c>
      <c r="X74" s="147"/>
      <c r="Y74" s="147"/>
      <c r="Z74" s="147"/>
      <c r="AA74" s="147"/>
      <c r="AB74" s="147"/>
      <c r="AC74" s="147"/>
      <c r="AD74" s="147"/>
      <c r="AE74" s="147"/>
      <c r="AF74" s="147" t="s">
        <v>149</v>
      </c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outlineLevel="1" x14ac:dyDescent="0.25">
      <c r="A75" s="154"/>
      <c r="B75" s="155"/>
      <c r="C75" s="184" t="s">
        <v>559</v>
      </c>
      <c r="D75" s="157"/>
      <c r="E75" s="158">
        <v>90.432000000000002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47"/>
      <c r="Y75" s="147"/>
      <c r="Z75" s="147"/>
      <c r="AA75" s="147"/>
      <c r="AB75" s="147"/>
      <c r="AC75" s="147"/>
      <c r="AD75" s="147"/>
      <c r="AE75" s="147"/>
      <c r="AF75" s="147" t="s">
        <v>153</v>
      </c>
      <c r="AG75" s="147">
        <v>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20.399999999999999" outlineLevel="1" x14ac:dyDescent="0.25">
      <c r="A76" s="154"/>
      <c r="B76" s="155"/>
      <c r="C76" s="184" t="s">
        <v>560</v>
      </c>
      <c r="D76" s="157"/>
      <c r="E76" s="158">
        <v>27.799199999999999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47"/>
      <c r="Y76" s="147"/>
      <c r="Z76" s="147"/>
      <c r="AA76" s="147"/>
      <c r="AB76" s="147"/>
      <c r="AC76" s="147"/>
      <c r="AD76" s="147"/>
      <c r="AE76" s="147"/>
      <c r="AF76" s="147" t="s">
        <v>153</v>
      </c>
      <c r="AG76" s="147">
        <v>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x14ac:dyDescent="0.25">
      <c r="A77" s="160" t="s">
        <v>141</v>
      </c>
      <c r="B77" s="161" t="s">
        <v>109</v>
      </c>
      <c r="C77" s="182" t="s">
        <v>110</v>
      </c>
      <c r="D77" s="162"/>
      <c r="E77" s="163"/>
      <c r="F77" s="164"/>
      <c r="G77" s="164">
        <f>SUMIF(AF78:AF101,"&lt;&gt;NOR",G78:G101)</f>
        <v>0</v>
      </c>
      <c r="H77" s="164"/>
      <c r="I77" s="164">
        <f>SUM(I78:I101)</f>
        <v>0</v>
      </c>
      <c r="J77" s="164"/>
      <c r="K77" s="164">
        <f>SUM(K78:K101)</f>
        <v>1550900</v>
      </c>
      <c r="L77" s="164"/>
      <c r="M77" s="164">
        <f>SUM(M78:M101)</f>
        <v>0</v>
      </c>
      <c r="N77" s="164"/>
      <c r="O77" s="164">
        <f>SUM(O78:O101)</f>
        <v>0</v>
      </c>
      <c r="P77" s="164"/>
      <c r="Q77" s="164">
        <f>SUM(Q78:Q101)</f>
        <v>0</v>
      </c>
      <c r="R77" s="164"/>
      <c r="S77" s="165"/>
      <c r="T77" s="159"/>
      <c r="U77" s="159">
        <f>SUM(U78:U101)</f>
        <v>0</v>
      </c>
      <c r="V77" s="159"/>
      <c r="W77" s="159"/>
      <c r="AF77" t="s">
        <v>142</v>
      </c>
    </row>
    <row r="78" spans="1:59" ht="30.6" outlineLevel="1" x14ac:dyDescent="0.25">
      <c r="A78" s="166">
        <v>25</v>
      </c>
      <c r="B78" s="167" t="s">
        <v>506</v>
      </c>
      <c r="C78" s="183" t="s">
        <v>856</v>
      </c>
      <c r="D78" s="168" t="s">
        <v>561</v>
      </c>
      <c r="E78" s="169">
        <v>1</v>
      </c>
      <c r="F78" s="170">
        <v>0</v>
      </c>
      <c r="G78" s="171">
        <f>ROUND(E78*F78,2)</f>
        <v>0</v>
      </c>
      <c r="H78" s="170">
        <v>0</v>
      </c>
      <c r="I78" s="171">
        <f>ROUND(E78*H78,2)</f>
        <v>0</v>
      </c>
      <c r="J78" s="170">
        <v>125300</v>
      </c>
      <c r="K78" s="171">
        <f>ROUND(E78*J78,2)</f>
        <v>125300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2" t="s">
        <v>175</v>
      </c>
      <c r="T78" s="156">
        <v>0</v>
      </c>
      <c r="U78" s="156">
        <f>ROUND(E78*T78,2)</f>
        <v>0</v>
      </c>
      <c r="V78" s="156"/>
      <c r="W78" s="156" t="s">
        <v>148</v>
      </c>
      <c r="X78" s="147"/>
      <c r="Y78" s="147"/>
      <c r="Z78" s="147"/>
      <c r="AA78" s="147"/>
      <c r="AB78" s="147"/>
      <c r="AC78" s="147"/>
      <c r="AD78" s="147"/>
      <c r="AE78" s="147"/>
      <c r="AF78" s="147" t="s">
        <v>149</v>
      </c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outlineLevel="1" x14ac:dyDescent="0.25">
      <c r="A79" s="154"/>
      <c r="B79" s="155"/>
      <c r="C79" s="255" t="s">
        <v>562</v>
      </c>
      <c r="D79" s="255"/>
      <c r="E79" s="255"/>
      <c r="F79" s="255"/>
      <c r="G79" s="25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47"/>
      <c r="Y79" s="147"/>
      <c r="Z79" s="147"/>
      <c r="AA79" s="147"/>
      <c r="AB79" s="147"/>
      <c r="AC79" s="147"/>
      <c r="AD79" s="147"/>
      <c r="AE79" s="147"/>
      <c r="AF79" s="147" t="s">
        <v>166</v>
      </c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30.6" outlineLevel="1" x14ac:dyDescent="0.25">
      <c r="A80" s="166">
        <v>26</v>
      </c>
      <c r="B80" s="167" t="s">
        <v>563</v>
      </c>
      <c r="C80" s="183" t="s">
        <v>857</v>
      </c>
      <c r="D80" s="168" t="s">
        <v>561</v>
      </c>
      <c r="E80" s="169">
        <v>1</v>
      </c>
      <c r="F80" s="170">
        <v>0</v>
      </c>
      <c r="G80" s="171">
        <f>ROUND(E80*F80,2)</f>
        <v>0</v>
      </c>
      <c r="H80" s="170">
        <v>0</v>
      </c>
      <c r="I80" s="171">
        <f>ROUND(E80*H80,2)</f>
        <v>0</v>
      </c>
      <c r="J80" s="170">
        <v>101700</v>
      </c>
      <c r="K80" s="171">
        <f>ROUND(E80*J80,2)</f>
        <v>101700</v>
      </c>
      <c r="L80" s="171">
        <v>21</v>
      </c>
      <c r="M80" s="171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1"/>
      <c r="S80" s="172" t="s">
        <v>175</v>
      </c>
      <c r="T80" s="156">
        <v>0</v>
      </c>
      <c r="U80" s="156">
        <f>ROUND(E80*T80,2)</f>
        <v>0</v>
      </c>
      <c r="V80" s="156"/>
      <c r="W80" s="156" t="s">
        <v>148</v>
      </c>
      <c r="X80" s="147"/>
      <c r="Y80" s="147"/>
      <c r="Z80" s="147"/>
      <c r="AA80" s="147"/>
      <c r="AB80" s="147"/>
      <c r="AC80" s="147"/>
      <c r="AD80" s="147"/>
      <c r="AE80" s="147"/>
      <c r="AF80" s="147" t="s">
        <v>149</v>
      </c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outlineLevel="1" x14ac:dyDescent="0.25">
      <c r="A81" s="154"/>
      <c r="B81" s="155"/>
      <c r="C81" s="255" t="s">
        <v>562</v>
      </c>
      <c r="D81" s="255"/>
      <c r="E81" s="255"/>
      <c r="F81" s="255"/>
      <c r="G81" s="255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47"/>
      <c r="Y81" s="147"/>
      <c r="Z81" s="147"/>
      <c r="AA81" s="147"/>
      <c r="AB81" s="147"/>
      <c r="AC81" s="147"/>
      <c r="AD81" s="147"/>
      <c r="AE81" s="147"/>
      <c r="AF81" s="147" t="s">
        <v>166</v>
      </c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30.6" outlineLevel="1" x14ac:dyDescent="0.25">
      <c r="A82" s="166">
        <v>27</v>
      </c>
      <c r="B82" s="167" t="s">
        <v>564</v>
      </c>
      <c r="C82" s="183" t="s">
        <v>858</v>
      </c>
      <c r="D82" s="168" t="s">
        <v>561</v>
      </c>
      <c r="E82" s="169">
        <v>1</v>
      </c>
      <c r="F82" s="170">
        <v>0</v>
      </c>
      <c r="G82" s="171">
        <f>ROUND(E82*F82,2)</f>
        <v>0</v>
      </c>
      <c r="H82" s="170">
        <v>0</v>
      </c>
      <c r="I82" s="171">
        <f>ROUND(E82*H82,2)</f>
        <v>0</v>
      </c>
      <c r="J82" s="170">
        <v>75700</v>
      </c>
      <c r="K82" s="171">
        <f>ROUND(E82*J82,2)</f>
        <v>75700</v>
      </c>
      <c r="L82" s="171">
        <v>21</v>
      </c>
      <c r="M82" s="171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1"/>
      <c r="S82" s="172" t="s">
        <v>175</v>
      </c>
      <c r="T82" s="156">
        <v>0</v>
      </c>
      <c r="U82" s="156">
        <f>ROUND(E82*T82,2)</f>
        <v>0</v>
      </c>
      <c r="V82" s="156"/>
      <c r="W82" s="156" t="s">
        <v>148</v>
      </c>
      <c r="X82" s="147"/>
      <c r="Y82" s="147"/>
      <c r="Z82" s="147"/>
      <c r="AA82" s="147"/>
      <c r="AB82" s="147"/>
      <c r="AC82" s="147"/>
      <c r="AD82" s="147"/>
      <c r="AE82" s="147"/>
      <c r="AF82" s="147" t="s">
        <v>149</v>
      </c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outlineLevel="1" x14ac:dyDescent="0.25">
      <c r="A83" s="154"/>
      <c r="B83" s="155"/>
      <c r="C83" s="255" t="s">
        <v>562</v>
      </c>
      <c r="D83" s="255"/>
      <c r="E83" s="255"/>
      <c r="F83" s="255"/>
      <c r="G83" s="255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47"/>
      <c r="Y83" s="147"/>
      <c r="Z83" s="147"/>
      <c r="AA83" s="147"/>
      <c r="AB83" s="147"/>
      <c r="AC83" s="147"/>
      <c r="AD83" s="147"/>
      <c r="AE83" s="147"/>
      <c r="AF83" s="147" t="s">
        <v>166</v>
      </c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30.6" outlineLevel="1" x14ac:dyDescent="0.25">
      <c r="A84" s="166">
        <v>28</v>
      </c>
      <c r="B84" s="167" t="s">
        <v>565</v>
      </c>
      <c r="C84" s="183" t="s">
        <v>859</v>
      </c>
      <c r="D84" s="168" t="s">
        <v>561</v>
      </c>
      <c r="E84" s="169">
        <v>1</v>
      </c>
      <c r="F84" s="170">
        <v>0</v>
      </c>
      <c r="G84" s="171">
        <f>ROUND(E84*F84,2)</f>
        <v>0</v>
      </c>
      <c r="H84" s="170">
        <v>0</v>
      </c>
      <c r="I84" s="171">
        <f>ROUND(E84*H84,2)</f>
        <v>0</v>
      </c>
      <c r="J84" s="170">
        <v>26400</v>
      </c>
      <c r="K84" s="171">
        <f>ROUND(E84*J84,2)</f>
        <v>26400</v>
      </c>
      <c r="L84" s="171">
        <v>21</v>
      </c>
      <c r="M84" s="171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1"/>
      <c r="S84" s="172" t="s">
        <v>175</v>
      </c>
      <c r="T84" s="156">
        <v>0</v>
      </c>
      <c r="U84" s="156">
        <f>ROUND(E84*T84,2)</f>
        <v>0</v>
      </c>
      <c r="V84" s="156"/>
      <c r="W84" s="156" t="s">
        <v>148</v>
      </c>
      <c r="X84" s="147"/>
      <c r="Y84" s="147"/>
      <c r="Z84" s="147"/>
      <c r="AA84" s="147"/>
      <c r="AB84" s="147"/>
      <c r="AC84" s="147"/>
      <c r="AD84" s="147"/>
      <c r="AE84" s="147"/>
      <c r="AF84" s="147" t="s">
        <v>149</v>
      </c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outlineLevel="1" x14ac:dyDescent="0.25">
      <c r="A85" s="154"/>
      <c r="B85" s="155"/>
      <c r="C85" s="255" t="s">
        <v>562</v>
      </c>
      <c r="D85" s="255"/>
      <c r="E85" s="255"/>
      <c r="F85" s="255"/>
      <c r="G85" s="2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47"/>
      <c r="Y85" s="147"/>
      <c r="Z85" s="147"/>
      <c r="AA85" s="147"/>
      <c r="AB85" s="147"/>
      <c r="AC85" s="147"/>
      <c r="AD85" s="147"/>
      <c r="AE85" s="147"/>
      <c r="AF85" s="147" t="s">
        <v>166</v>
      </c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30.6" outlineLevel="1" x14ac:dyDescent="0.25">
      <c r="A86" s="166">
        <v>29</v>
      </c>
      <c r="B86" s="167" t="s">
        <v>566</v>
      </c>
      <c r="C86" s="183" t="s">
        <v>860</v>
      </c>
      <c r="D86" s="168" t="s">
        <v>561</v>
      </c>
      <c r="E86" s="169">
        <v>1</v>
      </c>
      <c r="F86" s="170">
        <v>0</v>
      </c>
      <c r="G86" s="171">
        <f>ROUND(E86*F86,2)</f>
        <v>0</v>
      </c>
      <c r="H86" s="170">
        <v>0</v>
      </c>
      <c r="I86" s="171">
        <f>ROUND(E86*H86,2)</f>
        <v>0</v>
      </c>
      <c r="J86" s="170">
        <v>285500</v>
      </c>
      <c r="K86" s="171">
        <f>ROUND(E86*J86,2)</f>
        <v>285500</v>
      </c>
      <c r="L86" s="171">
        <v>21</v>
      </c>
      <c r="M86" s="171">
        <f>G86*(1+L86/100)</f>
        <v>0</v>
      </c>
      <c r="N86" s="171">
        <v>0</v>
      </c>
      <c r="O86" s="171">
        <f>ROUND(E86*N86,2)</f>
        <v>0</v>
      </c>
      <c r="P86" s="171">
        <v>0</v>
      </c>
      <c r="Q86" s="171">
        <f>ROUND(E86*P86,2)</f>
        <v>0</v>
      </c>
      <c r="R86" s="171"/>
      <c r="S86" s="172" t="s">
        <v>175</v>
      </c>
      <c r="T86" s="156">
        <v>0</v>
      </c>
      <c r="U86" s="156">
        <f>ROUND(E86*T86,2)</f>
        <v>0</v>
      </c>
      <c r="V86" s="156"/>
      <c r="W86" s="156" t="s">
        <v>148</v>
      </c>
      <c r="X86" s="147"/>
      <c r="Y86" s="147"/>
      <c r="Z86" s="147"/>
      <c r="AA86" s="147"/>
      <c r="AB86" s="147"/>
      <c r="AC86" s="147"/>
      <c r="AD86" s="147"/>
      <c r="AE86" s="147"/>
      <c r="AF86" s="147" t="s">
        <v>149</v>
      </c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outlineLevel="1" x14ac:dyDescent="0.25">
      <c r="A87" s="154"/>
      <c r="B87" s="155"/>
      <c r="C87" s="255" t="s">
        <v>562</v>
      </c>
      <c r="D87" s="255"/>
      <c r="E87" s="255"/>
      <c r="F87" s="255"/>
      <c r="G87" s="255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47"/>
      <c r="Y87" s="147"/>
      <c r="Z87" s="147"/>
      <c r="AA87" s="147"/>
      <c r="AB87" s="147"/>
      <c r="AC87" s="147"/>
      <c r="AD87" s="147"/>
      <c r="AE87" s="147"/>
      <c r="AF87" s="147" t="s">
        <v>166</v>
      </c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30.6" outlineLevel="1" x14ac:dyDescent="0.25">
      <c r="A88" s="166">
        <v>30</v>
      </c>
      <c r="B88" s="167" t="s">
        <v>567</v>
      </c>
      <c r="C88" s="183" t="s">
        <v>861</v>
      </c>
      <c r="D88" s="168" t="s">
        <v>561</v>
      </c>
      <c r="E88" s="169">
        <v>2</v>
      </c>
      <c r="F88" s="170">
        <v>0</v>
      </c>
      <c r="G88" s="171">
        <f>ROUND(E88*F88,2)</f>
        <v>0</v>
      </c>
      <c r="H88" s="170">
        <v>0</v>
      </c>
      <c r="I88" s="171">
        <f>ROUND(E88*H88,2)</f>
        <v>0</v>
      </c>
      <c r="J88" s="170">
        <v>12000</v>
      </c>
      <c r="K88" s="171">
        <f>ROUND(E88*J88,2)</f>
        <v>24000</v>
      </c>
      <c r="L88" s="171">
        <v>21</v>
      </c>
      <c r="M88" s="171">
        <f>G88*(1+L88/100)</f>
        <v>0</v>
      </c>
      <c r="N88" s="171">
        <v>0</v>
      </c>
      <c r="O88" s="171">
        <f>ROUND(E88*N88,2)</f>
        <v>0</v>
      </c>
      <c r="P88" s="171">
        <v>0</v>
      </c>
      <c r="Q88" s="171">
        <f>ROUND(E88*P88,2)</f>
        <v>0</v>
      </c>
      <c r="R88" s="171"/>
      <c r="S88" s="172" t="s">
        <v>175</v>
      </c>
      <c r="T88" s="156">
        <v>0</v>
      </c>
      <c r="U88" s="156">
        <f>ROUND(E88*T88,2)</f>
        <v>0</v>
      </c>
      <c r="V88" s="156"/>
      <c r="W88" s="156" t="s">
        <v>148</v>
      </c>
      <c r="X88" s="147"/>
      <c r="Y88" s="147"/>
      <c r="Z88" s="147"/>
      <c r="AA88" s="147"/>
      <c r="AB88" s="147"/>
      <c r="AC88" s="147"/>
      <c r="AD88" s="147"/>
      <c r="AE88" s="147"/>
      <c r="AF88" s="147" t="s">
        <v>149</v>
      </c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outlineLevel="1" x14ac:dyDescent="0.25">
      <c r="A89" s="154"/>
      <c r="B89" s="155"/>
      <c r="C89" s="255" t="s">
        <v>562</v>
      </c>
      <c r="D89" s="255"/>
      <c r="E89" s="255"/>
      <c r="F89" s="255"/>
      <c r="G89" s="255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47"/>
      <c r="Y89" s="147"/>
      <c r="Z89" s="147"/>
      <c r="AA89" s="147"/>
      <c r="AB89" s="147"/>
      <c r="AC89" s="147"/>
      <c r="AD89" s="147"/>
      <c r="AE89" s="147"/>
      <c r="AF89" s="147" t="s">
        <v>166</v>
      </c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30.6" outlineLevel="1" x14ac:dyDescent="0.25">
      <c r="A90" s="166">
        <v>31</v>
      </c>
      <c r="B90" s="167" t="s">
        <v>568</v>
      </c>
      <c r="C90" s="183" t="s">
        <v>862</v>
      </c>
      <c r="D90" s="168" t="s">
        <v>561</v>
      </c>
      <c r="E90" s="169">
        <v>1</v>
      </c>
      <c r="F90" s="170">
        <v>0</v>
      </c>
      <c r="G90" s="171">
        <f>ROUND(E90*F90,2)</f>
        <v>0</v>
      </c>
      <c r="H90" s="170">
        <v>0</v>
      </c>
      <c r="I90" s="171">
        <f>ROUND(E90*H90,2)</f>
        <v>0</v>
      </c>
      <c r="J90" s="170">
        <v>348000</v>
      </c>
      <c r="K90" s="171">
        <f>ROUND(E90*J90,2)</f>
        <v>348000</v>
      </c>
      <c r="L90" s="171">
        <v>21</v>
      </c>
      <c r="M90" s="171">
        <f>G90*(1+L90/100)</f>
        <v>0</v>
      </c>
      <c r="N90" s="171">
        <v>0</v>
      </c>
      <c r="O90" s="171">
        <f>ROUND(E90*N90,2)</f>
        <v>0</v>
      </c>
      <c r="P90" s="171">
        <v>0</v>
      </c>
      <c r="Q90" s="171">
        <f>ROUND(E90*P90,2)</f>
        <v>0</v>
      </c>
      <c r="R90" s="171"/>
      <c r="S90" s="172" t="s">
        <v>175</v>
      </c>
      <c r="T90" s="156">
        <v>0</v>
      </c>
      <c r="U90" s="156">
        <f>ROUND(E90*T90,2)</f>
        <v>0</v>
      </c>
      <c r="V90" s="156"/>
      <c r="W90" s="156" t="s">
        <v>148</v>
      </c>
      <c r="X90" s="147"/>
      <c r="Y90" s="147"/>
      <c r="Z90" s="147"/>
      <c r="AA90" s="147"/>
      <c r="AB90" s="147"/>
      <c r="AC90" s="147"/>
      <c r="AD90" s="147"/>
      <c r="AE90" s="147"/>
      <c r="AF90" s="147" t="s">
        <v>149</v>
      </c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outlineLevel="1" x14ac:dyDescent="0.25">
      <c r="A91" s="154"/>
      <c r="B91" s="155"/>
      <c r="C91" s="255" t="s">
        <v>562</v>
      </c>
      <c r="D91" s="255"/>
      <c r="E91" s="255"/>
      <c r="F91" s="255"/>
      <c r="G91" s="255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47"/>
      <c r="Y91" s="147"/>
      <c r="Z91" s="147"/>
      <c r="AA91" s="147"/>
      <c r="AB91" s="147"/>
      <c r="AC91" s="147"/>
      <c r="AD91" s="147"/>
      <c r="AE91" s="147"/>
      <c r="AF91" s="147" t="s">
        <v>166</v>
      </c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outlineLevel="1" x14ac:dyDescent="0.25">
      <c r="A92" s="166">
        <v>32</v>
      </c>
      <c r="B92" s="167" t="s">
        <v>569</v>
      </c>
      <c r="C92" s="183" t="s">
        <v>863</v>
      </c>
      <c r="D92" s="168" t="s">
        <v>561</v>
      </c>
      <c r="E92" s="169">
        <v>9</v>
      </c>
      <c r="F92" s="170">
        <v>0</v>
      </c>
      <c r="G92" s="171">
        <f>ROUND(E92*F92,2)</f>
        <v>0</v>
      </c>
      <c r="H92" s="170">
        <v>0</v>
      </c>
      <c r="I92" s="171">
        <f>ROUND(E92*H92,2)</f>
        <v>0</v>
      </c>
      <c r="J92" s="170">
        <v>19200</v>
      </c>
      <c r="K92" s="171">
        <f>ROUND(E92*J92,2)</f>
        <v>172800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/>
      <c r="S92" s="172" t="s">
        <v>175</v>
      </c>
      <c r="T92" s="156">
        <v>0</v>
      </c>
      <c r="U92" s="156">
        <f>ROUND(E92*T92,2)</f>
        <v>0</v>
      </c>
      <c r="V92" s="156"/>
      <c r="W92" s="156" t="s">
        <v>148</v>
      </c>
      <c r="X92" s="147"/>
      <c r="Y92" s="147"/>
      <c r="Z92" s="147"/>
      <c r="AA92" s="147"/>
      <c r="AB92" s="147"/>
      <c r="AC92" s="147"/>
      <c r="AD92" s="147"/>
      <c r="AE92" s="147"/>
      <c r="AF92" s="147" t="s">
        <v>149</v>
      </c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outlineLevel="1" x14ac:dyDescent="0.25">
      <c r="A93" s="154"/>
      <c r="B93" s="155"/>
      <c r="C93" s="255" t="s">
        <v>570</v>
      </c>
      <c r="D93" s="255"/>
      <c r="E93" s="255"/>
      <c r="F93" s="255"/>
      <c r="G93" s="255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47"/>
      <c r="Y93" s="147"/>
      <c r="Z93" s="147"/>
      <c r="AA93" s="147"/>
      <c r="AB93" s="147"/>
      <c r="AC93" s="147"/>
      <c r="AD93" s="147"/>
      <c r="AE93" s="147"/>
      <c r="AF93" s="147" t="s">
        <v>166</v>
      </c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outlineLevel="1" x14ac:dyDescent="0.25">
      <c r="A94" s="166">
        <v>33</v>
      </c>
      <c r="B94" s="167" t="s">
        <v>571</v>
      </c>
      <c r="C94" s="183" t="s">
        <v>867</v>
      </c>
      <c r="D94" s="168" t="s">
        <v>561</v>
      </c>
      <c r="E94" s="169">
        <v>9</v>
      </c>
      <c r="F94" s="170">
        <v>0</v>
      </c>
      <c r="G94" s="171">
        <f>ROUND(E94*F94,2)</f>
        <v>0</v>
      </c>
      <c r="H94" s="170">
        <v>0</v>
      </c>
      <c r="I94" s="171">
        <f>ROUND(E94*H94,2)</f>
        <v>0</v>
      </c>
      <c r="J94" s="170">
        <v>32300</v>
      </c>
      <c r="K94" s="171">
        <f>ROUND(E94*J94,2)</f>
        <v>290700</v>
      </c>
      <c r="L94" s="171">
        <v>21</v>
      </c>
      <c r="M94" s="171">
        <f>G94*(1+L94/100)</f>
        <v>0</v>
      </c>
      <c r="N94" s="171">
        <v>0</v>
      </c>
      <c r="O94" s="171">
        <f>ROUND(E94*N94,2)</f>
        <v>0</v>
      </c>
      <c r="P94" s="171">
        <v>0</v>
      </c>
      <c r="Q94" s="171">
        <f>ROUND(E94*P94,2)</f>
        <v>0</v>
      </c>
      <c r="R94" s="171"/>
      <c r="S94" s="172" t="s">
        <v>175</v>
      </c>
      <c r="T94" s="156">
        <v>0</v>
      </c>
      <c r="U94" s="156">
        <f>ROUND(E94*T94,2)</f>
        <v>0</v>
      </c>
      <c r="V94" s="156"/>
      <c r="W94" s="156" t="s">
        <v>148</v>
      </c>
      <c r="X94" s="147"/>
      <c r="Y94" s="147"/>
      <c r="Z94" s="147"/>
      <c r="AA94" s="147"/>
      <c r="AB94" s="147"/>
      <c r="AC94" s="147"/>
      <c r="AD94" s="147"/>
      <c r="AE94" s="147"/>
      <c r="AF94" s="147" t="s">
        <v>149</v>
      </c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outlineLevel="1" x14ac:dyDescent="0.25">
      <c r="A95" s="154"/>
      <c r="B95" s="155"/>
      <c r="C95" s="255" t="s">
        <v>570</v>
      </c>
      <c r="D95" s="255"/>
      <c r="E95" s="255"/>
      <c r="F95" s="255"/>
      <c r="G95" s="2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47"/>
      <c r="Y95" s="147"/>
      <c r="Z95" s="147"/>
      <c r="AA95" s="147"/>
      <c r="AB95" s="147"/>
      <c r="AC95" s="147"/>
      <c r="AD95" s="147"/>
      <c r="AE95" s="147"/>
      <c r="AF95" s="147" t="s">
        <v>166</v>
      </c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30.6" outlineLevel="1" x14ac:dyDescent="0.25">
      <c r="A96" s="166">
        <v>34</v>
      </c>
      <c r="B96" s="167" t="s">
        <v>572</v>
      </c>
      <c r="C96" s="183" t="s">
        <v>864</v>
      </c>
      <c r="D96" s="168" t="s">
        <v>561</v>
      </c>
      <c r="E96" s="169">
        <v>1</v>
      </c>
      <c r="F96" s="170">
        <v>0</v>
      </c>
      <c r="G96" s="171">
        <f>ROUND(E96*F96,2)</f>
        <v>0</v>
      </c>
      <c r="H96" s="170">
        <v>0</v>
      </c>
      <c r="I96" s="171">
        <f>ROUND(E96*H96,2)</f>
        <v>0</v>
      </c>
      <c r="J96" s="170">
        <v>20100</v>
      </c>
      <c r="K96" s="171">
        <f>ROUND(E96*J96,2)</f>
        <v>20100</v>
      </c>
      <c r="L96" s="171">
        <v>21</v>
      </c>
      <c r="M96" s="171">
        <f>G96*(1+L96/100)</f>
        <v>0</v>
      </c>
      <c r="N96" s="171">
        <v>0</v>
      </c>
      <c r="O96" s="171">
        <f>ROUND(E96*N96,2)</f>
        <v>0</v>
      </c>
      <c r="P96" s="171">
        <v>0</v>
      </c>
      <c r="Q96" s="171">
        <f>ROUND(E96*P96,2)</f>
        <v>0</v>
      </c>
      <c r="R96" s="171"/>
      <c r="S96" s="172" t="s">
        <v>175</v>
      </c>
      <c r="T96" s="156">
        <v>0</v>
      </c>
      <c r="U96" s="156">
        <f>ROUND(E96*T96,2)</f>
        <v>0</v>
      </c>
      <c r="V96" s="156"/>
      <c r="W96" s="156" t="s">
        <v>148</v>
      </c>
      <c r="X96" s="147"/>
      <c r="Y96" s="147"/>
      <c r="Z96" s="147"/>
      <c r="AA96" s="147"/>
      <c r="AB96" s="147"/>
      <c r="AC96" s="147"/>
      <c r="AD96" s="147"/>
      <c r="AE96" s="147"/>
      <c r="AF96" s="147" t="s">
        <v>149</v>
      </c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outlineLevel="1" x14ac:dyDescent="0.25">
      <c r="A97" s="154"/>
      <c r="B97" s="155"/>
      <c r="C97" s="255" t="s">
        <v>570</v>
      </c>
      <c r="D97" s="255"/>
      <c r="E97" s="255"/>
      <c r="F97" s="255"/>
      <c r="G97" s="255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47"/>
      <c r="Y97" s="147"/>
      <c r="Z97" s="147"/>
      <c r="AA97" s="147"/>
      <c r="AB97" s="147"/>
      <c r="AC97" s="147"/>
      <c r="AD97" s="147"/>
      <c r="AE97" s="147"/>
      <c r="AF97" s="147" t="s">
        <v>166</v>
      </c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20.399999999999999" outlineLevel="1" x14ac:dyDescent="0.25">
      <c r="A98" s="166">
        <v>35</v>
      </c>
      <c r="B98" s="167" t="s">
        <v>573</v>
      </c>
      <c r="C98" s="183" t="s">
        <v>865</v>
      </c>
      <c r="D98" s="168" t="s">
        <v>561</v>
      </c>
      <c r="E98" s="169">
        <v>1</v>
      </c>
      <c r="F98" s="170">
        <v>0</v>
      </c>
      <c r="G98" s="171">
        <f>ROUND(E98*F98,2)</f>
        <v>0</v>
      </c>
      <c r="H98" s="170">
        <v>0</v>
      </c>
      <c r="I98" s="171">
        <f>ROUND(E98*H98,2)</f>
        <v>0</v>
      </c>
      <c r="J98" s="170">
        <v>34900</v>
      </c>
      <c r="K98" s="171">
        <f>ROUND(E98*J98,2)</f>
        <v>34900</v>
      </c>
      <c r="L98" s="171">
        <v>21</v>
      </c>
      <c r="M98" s="171">
        <f>G98*(1+L98/100)</f>
        <v>0</v>
      </c>
      <c r="N98" s="171">
        <v>0</v>
      </c>
      <c r="O98" s="171">
        <f>ROUND(E98*N98,2)</f>
        <v>0</v>
      </c>
      <c r="P98" s="171">
        <v>0</v>
      </c>
      <c r="Q98" s="171">
        <f>ROUND(E98*P98,2)</f>
        <v>0</v>
      </c>
      <c r="R98" s="171"/>
      <c r="S98" s="172" t="s">
        <v>175</v>
      </c>
      <c r="T98" s="156">
        <v>0</v>
      </c>
      <c r="U98" s="156">
        <f>ROUND(E98*T98,2)</f>
        <v>0</v>
      </c>
      <c r="V98" s="156"/>
      <c r="W98" s="156" t="s">
        <v>148</v>
      </c>
      <c r="X98" s="147"/>
      <c r="Y98" s="147"/>
      <c r="Z98" s="147"/>
      <c r="AA98" s="147"/>
      <c r="AB98" s="147"/>
      <c r="AC98" s="147"/>
      <c r="AD98" s="147"/>
      <c r="AE98" s="147"/>
      <c r="AF98" s="147" t="s">
        <v>149</v>
      </c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outlineLevel="1" x14ac:dyDescent="0.25">
      <c r="A99" s="154"/>
      <c r="B99" s="155"/>
      <c r="C99" s="255" t="s">
        <v>570</v>
      </c>
      <c r="D99" s="255"/>
      <c r="E99" s="255"/>
      <c r="F99" s="255"/>
      <c r="G99" s="255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47"/>
      <c r="Y99" s="147"/>
      <c r="Z99" s="147"/>
      <c r="AA99" s="147"/>
      <c r="AB99" s="147"/>
      <c r="AC99" s="147"/>
      <c r="AD99" s="147"/>
      <c r="AE99" s="147"/>
      <c r="AF99" s="147" t="s">
        <v>166</v>
      </c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20.399999999999999" outlineLevel="1" x14ac:dyDescent="0.25">
      <c r="A100" s="166">
        <v>36</v>
      </c>
      <c r="B100" s="167" t="s">
        <v>574</v>
      </c>
      <c r="C100" s="183" t="s">
        <v>866</v>
      </c>
      <c r="D100" s="168" t="s">
        <v>561</v>
      </c>
      <c r="E100" s="169">
        <v>1</v>
      </c>
      <c r="F100" s="170">
        <v>0</v>
      </c>
      <c r="G100" s="171">
        <f>ROUND(E100*F100,2)</f>
        <v>0</v>
      </c>
      <c r="H100" s="170">
        <v>0</v>
      </c>
      <c r="I100" s="171">
        <f>ROUND(E100*H100,2)</f>
        <v>0</v>
      </c>
      <c r="J100" s="170">
        <v>45800</v>
      </c>
      <c r="K100" s="171">
        <f>ROUND(E100*J100,2)</f>
        <v>45800</v>
      </c>
      <c r="L100" s="171">
        <v>21</v>
      </c>
      <c r="M100" s="171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1"/>
      <c r="S100" s="172" t="s">
        <v>175</v>
      </c>
      <c r="T100" s="156">
        <v>0</v>
      </c>
      <c r="U100" s="156">
        <f>ROUND(E100*T100,2)</f>
        <v>0</v>
      </c>
      <c r="V100" s="156"/>
      <c r="W100" s="156" t="s">
        <v>148</v>
      </c>
      <c r="X100" s="147"/>
      <c r="Y100" s="147"/>
      <c r="Z100" s="147"/>
      <c r="AA100" s="147"/>
      <c r="AB100" s="147"/>
      <c r="AC100" s="147"/>
      <c r="AD100" s="147"/>
      <c r="AE100" s="147"/>
      <c r="AF100" s="147" t="s">
        <v>149</v>
      </c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outlineLevel="1" x14ac:dyDescent="0.25">
      <c r="A101" s="154"/>
      <c r="B101" s="155"/>
      <c r="C101" s="317" t="s">
        <v>575</v>
      </c>
      <c r="D101" s="318"/>
      <c r="E101" s="318"/>
      <c r="F101" s="318"/>
      <c r="G101" s="318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47"/>
      <c r="Y101" s="147"/>
      <c r="Z101" s="147"/>
      <c r="AA101" s="147"/>
      <c r="AB101" s="147"/>
      <c r="AC101" s="147"/>
      <c r="AD101" s="147"/>
      <c r="AE101" s="147"/>
      <c r="AF101" s="147" t="s">
        <v>166</v>
      </c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x14ac:dyDescent="0.25">
      <c r="A102" s="3"/>
      <c r="B102" s="4"/>
      <c r="C102" s="18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D102">
        <v>15</v>
      </c>
      <c r="AE102">
        <v>21</v>
      </c>
      <c r="AF102" t="s">
        <v>129</v>
      </c>
    </row>
    <row r="103" spans="1:59" x14ac:dyDescent="0.25">
      <c r="A103" s="150"/>
      <c r="B103" s="151" t="s">
        <v>29</v>
      </c>
      <c r="C103" s="187"/>
      <c r="D103" s="152"/>
      <c r="E103" s="153"/>
      <c r="F103" s="153"/>
      <c r="G103" s="181">
        <f>G8+G26+G30+G44+G48+G51+G58+G73+G77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D103">
        <f>SUMIF(L7:L101,AD102,G7:G101)</f>
        <v>0</v>
      </c>
      <c r="AE103">
        <f>SUMIF(L7:L101,AE102,G7:G101)</f>
        <v>0</v>
      </c>
      <c r="AF103" t="s">
        <v>204</v>
      </c>
    </row>
    <row r="104" spans="1:59" x14ac:dyDescent="0.25">
      <c r="C104" s="188"/>
      <c r="D104" s="10"/>
      <c r="AF104" t="s">
        <v>206</v>
      </c>
    </row>
    <row r="105" spans="1:59" x14ac:dyDescent="0.25">
      <c r="D105" s="10"/>
    </row>
    <row r="106" spans="1:59" x14ac:dyDescent="0.25">
      <c r="D106" s="10"/>
    </row>
    <row r="107" spans="1:59" x14ac:dyDescent="0.25">
      <c r="D107" s="10"/>
    </row>
    <row r="108" spans="1:59" x14ac:dyDescent="0.25">
      <c r="D108" s="10"/>
    </row>
    <row r="109" spans="1:59" x14ac:dyDescent="0.25">
      <c r="D109" s="10"/>
    </row>
    <row r="110" spans="1:59" x14ac:dyDescent="0.25">
      <c r="D110" s="10"/>
    </row>
    <row r="111" spans="1:59" x14ac:dyDescent="0.25">
      <c r="D111" s="10"/>
    </row>
    <row r="112" spans="1:59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YSS4Hgux3+xrMpKlJDDlDORErUxjRuP/c1hV47h98LCMcmMqgLJRSqkR/NddoqjlrgatqnoOU6g8Fn5IFvo8w==" saltValue="P5fERDmfWi0aM0nbFnFKgQ==" spinCount="100000" sheet="1" objects="1" scenarios="1"/>
  <protectedRanges>
    <protectedRange sqref="F9:F100" name="Oblast1"/>
  </protectedRanges>
  <mergeCells count="5">
    <mergeCell ref="A1:G1"/>
    <mergeCell ref="C2:G2"/>
    <mergeCell ref="C3:G3"/>
    <mergeCell ref="C4:G4"/>
    <mergeCell ref="C101:G10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G5000"/>
  <sheetViews>
    <sheetView zoomScale="80" zoomScaleNormal="80" workbookViewId="0">
      <pane ySplit="7" topLeftCell="A8" activePane="bottomLeft" state="frozen"/>
      <selection pane="bottomLeft" activeCell="AO10" sqref="AO10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65</v>
      </c>
      <c r="C4" s="314" t="s">
        <v>66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75</v>
      </c>
      <c r="C8" s="182" t="s">
        <v>76</v>
      </c>
      <c r="D8" s="162"/>
      <c r="E8" s="163"/>
      <c r="F8" s="164"/>
      <c r="G8" s="164">
        <f>SUMIF(AF9:AF41,"&lt;&gt;NOR",G9:G41)</f>
        <v>0</v>
      </c>
      <c r="H8" s="164"/>
      <c r="I8" s="164">
        <f>SUM(I9:I41)</f>
        <v>168308.43</v>
      </c>
      <c r="J8" s="164"/>
      <c r="K8" s="164">
        <f>SUM(K9:K41)</f>
        <v>222227.06999999998</v>
      </c>
      <c r="L8" s="164"/>
      <c r="M8" s="164">
        <f>SUM(M9:M41)</f>
        <v>0</v>
      </c>
      <c r="N8" s="164"/>
      <c r="O8" s="164">
        <f>SUM(O9:O41)</f>
        <v>229.95999999999998</v>
      </c>
      <c r="P8" s="164"/>
      <c r="Q8" s="164">
        <f>SUM(Q9:Q41)</f>
        <v>0</v>
      </c>
      <c r="R8" s="164"/>
      <c r="S8" s="165"/>
      <c r="T8" s="159"/>
      <c r="U8" s="159">
        <f>SUM(U9:U41)</f>
        <v>272.60000000000002</v>
      </c>
      <c r="V8" s="159"/>
      <c r="W8" s="159"/>
      <c r="AF8" t="s">
        <v>142</v>
      </c>
    </row>
    <row r="9" spans="1:59" outlineLevel="1" x14ac:dyDescent="0.25">
      <c r="A9" s="166">
        <v>1</v>
      </c>
      <c r="B9" s="167" t="s">
        <v>143</v>
      </c>
      <c r="C9" s="183" t="s">
        <v>144</v>
      </c>
      <c r="D9" s="168" t="s">
        <v>145</v>
      </c>
      <c r="E9" s="169">
        <v>165</v>
      </c>
      <c r="F9" s="170"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264.5</v>
      </c>
      <c r="K9" s="171">
        <f>ROUND(E9*J9,2)</f>
        <v>43642.5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146</v>
      </c>
      <c r="S9" s="172" t="s">
        <v>147</v>
      </c>
      <c r="T9" s="156">
        <v>1.0999999999999999E-2</v>
      </c>
      <c r="U9" s="156">
        <f>ROUND(E9*T9,2)</f>
        <v>1.82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outlineLevel="1" x14ac:dyDescent="0.25">
      <c r="A10" s="154"/>
      <c r="B10" s="155"/>
      <c r="C10" s="253" t="s">
        <v>150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151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outlineLevel="1" x14ac:dyDescent="0.25">
      <c r="A11" s="154"/>
      <c r="B11" s="155"/>
      <c r="C11" s="184" t="s">
        <v>576</v>
      </c>
      <c r="D11" s="157"/>
      <c r="E11" s="158">
        <v>80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47"/>
      <c r="Y11" s="147"/>
      <c r="Z11" s="147"/>
      <c r="AA11" s="147"/>
      <c r="AB11" s="147"/>
      <c r="AC11" s="147"/>
      <c r="AD11" s="147"/>
      <c r="AE11" s="147"/>
      <c r="AF11" s="147" t="s">
        <v>153</v>
      </c>
      <c r="AG11" s="147">
        <v>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outlineLevel="1" x14ac:dyDescent="0.25">
      <c r="A12" s="154"/>
      <c r="B12" s="155"/>
      <c r="C12" s="184" t="s">
        <v>577</v>
      </c>
      <c r="D12" s="157"/>
      <c r="E12" s="158">
        <v>25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47"/>
      <c r="Y12" s="147"/>
      <c r="Z12" s="147"/>
      <c r="AA12" s="147"/>
      <c r="AB12" s="147"/>
      <c r="AC12" s="147"/>
      <c r="AD12" s="147"/>
      <c r="AE12" s="147"/>
      <c r="AF12" s="147" t="s">
        <v>153</v>
      </c>
      <c r="AG12" s="147">
        <v>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54"/>
      <c r="B13" s="155"/>
      <c r="C13" s="184" t="s">
        <v>578</v>
      </c>
      <c r="D13" s="157"/>
      <c r="E13" s="158">
        <v>60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47"/>
      <c r="Y13" s="147"/>
      <c r="Z13" s="147"/>
      <c r="AA13" s="147"/>
      <c r="AB13" s="147"/>
      <c r="AC13" s="147"/>
      <c r="AD13" s="147"/>
      <c r="AE13" s="147"/>
      <c r="AF13" s="147" t="s">
        <v>153</v>
      </c>
      <c r="AG13" s="147">
        <v>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20.399999999999999" outlineLevel="1" x14ac:dyDescent="0.25">
      <c r="A14" s="166">
        <v>2</v>
      </c>
      <c r="B14" s="167" t="s">
        <v>154</v>
      </c>
      <c r="C14" s="183" t="s">
        <v>155</v>
      </c>
      <c r="D14" s="168" t="s">
        <v>145</v>
      </c>
      <c r="E14" s="169">
        <v>165</v>
      </c>
      <c r="F14" s="170">
        <v>0</v>
      </c>
      <c r="G14" s="171">
        <f>ROUND(E14*F14,2)</f>
        <v>0</v>
      </c>
      <c r="H14" s="170">
        <v>0</v>
      </c>
      <c r="I14" s="171">
        <f>ROUND(E14*H14,2)</f>
        <v>0</v>
      </c>
      <c r="J14" s="170">
        <v>256</v>
      </c>
      <c r="K14" s="171">
        <f>ROUND(E14*J14,2)</f>
        <v>42240</v>
      </c>
      <c r="L14" s="171">
        <v>21</v>
      </c>
      <c r="M14" s="171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1" t="s">
        <v>146</v>
      </c>
      <c r="S14" s="172" t="s">
        <v>147</v>
      </c>
      <c r="T14" s="156">
        <v>0.65200000000000002</v>
      </c>
      <c r="U14" s="156">
        <f>ROUND(E14*T14,2)</f>
        <v>107.58</v>
      </c>
      <c r="V14" s="156"/>
      <c r="W14" s="156" t="s">
        <v>148</v>
      </c>
      <c r="X14" s="147"/>
      <c r="Y14" s="147"/>
      <c r="Z14" s="147"/>
      <c r="AA14" s="147"/>
      <c r="AB14" s="147"/>
      <c r="AC14" s="147"/>
      <c r="AD14" s="147"/>
      <c r="AE14" s="147"/>
      <c r="AF14" s="147" t="s">
        <v>149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54"/>
      <c r="B15" s="155"/>
      <c r="C15" s="184" t="s">
        <v>576</v>
      </c>
      <c r="D15" s="157"/>
      <c r="E15" s="158">
        <v>80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153</v>
      </c>
      <c r="AG15" s="147">
        <v>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54"/>
      <c r="B16" s="155"/>
      <c r="C16" s="184" t="s">
        <v>577</v>
      </c>
      <c r="D16" s="157"/>
      <c r="E16" s="158">
        <v>25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47"/>
      <c r="Y16" s="147"/>
      <c r="Z16" s="147"/>
      <c r="AA16" s="147"/>
      <c r="AB16" s="147"/>
      <c r="AC16" s="147"/>
      <c r="AD16" s="147"/>
      <c r="AE16" s="147"/>
      <c r="AF16" s="147" t="s">
        <v>153</v>
      </c>
      <c r="AG16" s="147">
        <v>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outlineLevel="1" x14ac:dyDescent="0.25">
      <c r="A17" s="154"/>
      <c r="B17" s="155"/>
      <c r="C17" s="184" t="s">
        <v>578</v>
      </c>
      <c r="D17" s="157"/>
      <c r="E17" s="158">
        <v>60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153</v>
      </c>
      <c r="AG17" s="147">
        <v>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66">
        <v>3</v>
      </c>
      <c r="B18" s="167" t="s">
        <v>579</v>
      </c>
      <c r="C18" s="183" t="s">
        <v>580</v>
      </c>
      <c r="D18" s="168" t="s">
        <v>158</v>
      </c>
      <c r="E18" s="169">
        <v>480</v>
      </c>
      <c r="F18" s="170">
        <v>0</v>
      </c>
      <c r="G18" s="171">
        <f>ROUND(E18*F18,2)</f>
        <v>0</v>
      </c>
      <c r="H18" s="170">
        <v>0</v>
      </c>
      <c r="I18" s="171">
        <f>ROUND(E18*H18,2)</f>
        <v>0</v>
      </c>
      <c r="J18" s="170">
        <v>9.8000000000000007</v>
      </c>
      <c r="K18" s="171">
        <f>ROUND(E18*J18,2)</f>
        <v>4704</v>
      </c>
      <c r="L18" s="171">
        <v>21</v>
      </c>
      <c r="M18" s="171">
        <f>G18*(1+L18/100)</f>
        <v>0</v>
      </c>
      <c r="N18" s="171">
        <v>0</v>
      </c>
      <c r="O18" s="171">
        <f>ROUND(E18*N18,2)</f>
        <v>0</v>
      </c>
      <c r="P18" s="171">
        <v>0</v>
      </c>
      <c r="Q18" s="171">
        <f>ROUND(E18*P18,2)</f>
        <v>0</v>
      </c>
      <c r="R18" s="171" t="s">
        <v>581</v>
      </c>
      <c r="S18" s="172" t="s">
        <v>147</v>
      </c>
      <c r="T18" s="156">
        <v>8.0000000000000002E-3</v>
      </c>
      <c r="U18" s="156">
        <f>ROUND(E18*T18,2)</f>
        <v>3.84</v>
      </c>
      <c r="V18" s="156"/>
      <c r="W18" s="156" t="s">
        <v>148</v>
      </c>
      <c r="X18" s="147"/>
      <c r="Y18" s="147"/>
      <c r="Z18" s="147"/>
      <c r="AA18" s="147"/>
      <c r="AB18" s="147"/>
      <c r="AC18" s="147"/>
      <c r="AD18" s="147"/>
      <c r="AE18" s="147"/>
      <c r="AF18" s="147" t="s">
        <v>149</v>
      </c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54"/>
      <c r="B19" s="155"/>
      <c r="C19" s="253" t="s">
        <v>582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47"/>
      <c r="Y19" s="147"/>
      <c r="Z19" s="147"/>
      <c r="AA19" s="147"/>
      <c r="AB19" s="147"/>
      <c r="AC19" s="147"/>
      <c r="AD19" s="147"/>
      <c r="AE19" s="147"/>
      <c r="AF19" s="147" t="s">
        <v>151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54"/>
      <c r="B20" s="155"/>
      <c r="C20" s="256" t="s">
        <v>583</v>
      </c>
      <c r="D20" s="256"/>
      <c r="E20" s="256"/>
      <c r="F20" s="256"/>
      <c r="G20" s="2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151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20.399999999999999" outlineLevel="1" x14ac:dyDescent="0.25">
      <c r="A21" s="166">
        <v>4</v>
      </c>
      <c r="B21" s="167" t="s">
        <v>584</v>
      </c>
      <c r="C21" s="183" t="s">
        <v>585</v>
      </c>
      <c r="D21" s="168" t="s">
        <v>158</v>
      </c>
      <c r="E21" s="169">
        <v>480</v>
      </c>
      <c r="F21" s="170">
        <v>0</v>
      </c>
      <c r="G21" s="171">
        <f>ROUND(E21*F21,2)</f>
        <v>0</v>
      </c>
      <c r="H21" s="170">
        <v>0</v>
      </c>
      <c r="I21" s="171">
        <f>ROUND(E21*H21,2)</f>
        <v>0</v>
      </c>
      <c r="J21" s="170">
        <v>119</v>
      </c>
      <c r="K21" s="171">
        <f>ROUND(E21*J21,2)</f>
        <v>57120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146</v>
      </c>
      <c r="S21" s="172" t="s">
        <v>147</v>
      </c>
      <c r="T21" s="156">
        <v>0.33200000000000002</v>
      </c>
      <c r="U21" s="156">
        <f>ROUND(E21*T21,2)</f>
        <v>159.36000000000001</v>
      </c>
      <c r="V21" s="156"/>
      <c r="W21" s="156" t="s">
        <v>148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149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3.05" customHeight="1" outlineLevel="1" x14ac:dyDescent="0.25">
      <c r="A22" s="154"/>
      <c r="B22" s="155"/>
      <c r="C22" s="253" t="s">
        <v>159</v>
      </c>
      <c r="D22" s="253"/>
      <c r="E22" s="253"/>
      <c r="F22" s="253"/>
      <c r="G22" s="25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151</v>
      </c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73" t="str">
        <f>C22</f>
        <v>s případným nutným přemístěním hromad nebo dočasných skládek na místo potřeby ze vzdálenosti do 30 m, v rovině nebo ve svahu do 1 : 5,</v>
      </c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66">
        <v>5</v>
      </c>
      <c r="B23" s="167" t="s">
        <v>161</v>
      </c>
      <c r="C23" s="183" t="s">
        <v>162</v>
      </c>
      <c r="D23" s="168" t="s">
        <v>158</v>
      </c>
      <c r="E23" s="169">
        <v>480</v>
      </c>
      <c r="F23" s="170">
        <v>0</v>
      </c>
      <c r="G23" s="171">
        <f>ROUND(E23*F23,2)</f>
        <v>0</v>
      </c>
      <c r="H23" s="170">
        <v>7.94</v>
      </c>
      <c r="I23" s="171">
        <f>ROUND(E23*H23,2)</f>
        <v>3811.2</v>
      </c>
      <c r="J23" s="170">
        <v>33.36</v>
      </c>
      <c r="K23" s="171">
        <f>ROUND(E23*J23,2)</f>
        <v>16012.8</v>
      </c>
      <c r="L23" s="171">
        <v>21</v>
      </c>
      <c r="M23" s="171">
        <f>G23*(1+L23/100)</f>
        <v>0</v>
      </c>
      <c r="N23" s="171">
        <v>1.2999999999999999E-4</v>
      </c>
      <c r="O23" s="171">
        <f>ROUND(E23*N23,2)</f>
        <v>0.06</v>
      </c>
      <c r="P23" s="171">
        <v>0</v>
      </c>
      <c r="Q23" s="171">
        <f>ROUND(E23*P23,2)</f>
        <v>0</v>
      </c>
      <c r="R23" s="171"/>
      <c r="S23" s="172" t="s">
        <v>147</v>
      </c>
      <c r="T23" s="156">
        <v>0</v>
      </c>
      <c r="U23" s="156">
        <f>ROUND(E23*T23,2)</f>
        <v>0</v>
      </c>
      <c r="V23" s="156"/>
      <c r="W23" s="156" t="s">
        <v>163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164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outlineLevel="1" x14ac:dyDescent="0.25">
      <c r="A24" s="154"/>
      <c r="B24" s="155"/>
      <c r="C24" s="255" t="s">
        <v>165</v>
      </c>
      <c r="D24" s="255"/>
      <c r="E24" s="255"/>
      <c r="F24" s="255"/>
      <c r="G24" s="2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47"/>
      <c r="Y24" s="147"/>
      <c r="Z24" s="147"/>
      <c r="AA24" s="147"/>
      <c r="AB24" s="147"/>
      <c r="AC24" s="147"/>
      <c r="AD24" s="147"/>
      <c r="AE24" s="147"/>
      <c r="AF24" s="147" t="s">
        <v>166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0.399999999999999" outlineLevel="1" x14ac:dyDescent="0.25">
      <c r="A25" s="166">
        <v>6</v>
      </c>
      <c r="B25" s="167" t="s">
        <v>586</v>
      </c>
      <c r="C25" s="183" t="s">
        <v>587</v>
      </c>
      <c r="D25" s="168" t="s">
        <v>315</v>
      </c>
      <c r="E25" s="169">
        <v>9</v>
      </c>
      <c r="F25" s="170">
        <v>0</v>
      </c>
      <c r="G25" s="171">
        <f>ROUND(E25*F25,2)</f>
        <v>0</v>
      </c>
      <c r="H25" s="170">
        <v>522.47</v>
      </c>
      <c r="I25" s="171">
        <f>ROUND(E25*H25,2)</f>
        <v>4702.2299999999996</v>
      </c>
      <c r="J25" s="170">
        <v>3522.53</v>
      </c>
      <c r="K25" s="171">
        <f>ROUND(E25*J25,2)</f>
        <v>31702.77</v>
      </c>
      <c r="L25" s="171">
        <v>21</v>
      </c>
      <c r="M25" s="171">
        <f>G25*(1+L25/100)</f>
        <v>0</v>
      </c>
      <c r="N25" s="171">
        <v>2.758E-2</v>
      </c>
      <c r="O25" s="171">
        <f>ROUND(E25*N25,2)</f>
        <v>0.25</v>
      </c>
      <c r="P25" s="171">
        <v>0</v>
      </c>
      <c r="Q25" s="171">
        <f>ROUND(E25*P25,2)</f>
        <v>0</v>
      </c>
      <c r="R25" s="171" t="s">
        <v>588</v>
      </c>
      <c r="S25" s="172" t="s">
        <v>147</v>
      </c>
      <c r="T25" s="156">
        <v>0</v>
      </c>
      <c r="U25" s="156">
        <f>ROUND(E25*T25,2)</f>
        <v>0</v>
      </c>
      <c r="V25" s="156"/>
      <c r="W25" s="156" t="s">
        <v>163</v>
      </c>
      <c r="X25" s="147"/>
      <c r="Y25" s="147"/>
      <c r="Z25" s="147"/>
      <c r="AA25" s="147"/>
      <c r="AB25" s="147"/>
      <c r="AC25" s="147"/>
      <c r="AD25" s="147"/>
      <c r="AE25" s="147"/>
      <c r="AF25" s="147" t="s">
        <v>164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36" customHeight="1" outlineLevel="1" x14ac:dyDescent="0.25">
      <c r="A26" s="154"/>
      <c r="B26" s="155"/>
      <c r="C26" s="255" t="s">
        <v>589</v>
      </c>
      <c r="D26" s="255"/>
      <c r="E26" s="255"/>
      <c r="F26" s="255"/>
      <c r="G26" s="255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166</v>
      </c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73" t="str">
        <f>C26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A26" s="147"/>
      <c r="BB26" s="147"/>
      <c r="BC26" s="147"/>
      <c r="BD26" s="147"/>
      <c r="BE26" s="147"/>
      <c r="BF26" s="147"/>
      <c r="BG26" s="147"/>
    </row>
    <row r="27" spans="1:59" outlineLevel="1" x14ac:dyDescent="0.25">
      <c r="A27" s="154"/>
      <c r="B27" s="155"/>
      <c r="C27" s="254" t="s">
        <v>590</v>
      </c>
      <c r="D27" s="254"/>
      <c r="E27" s="254"/>
      <c r="F27" s="254"/>
      <c r="G27" s="254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47"/>
      <c r="Y27" s="147"/>
      <c r="Z27" s="147"/>
      <c r="AA27" s="147"/>
      <c r="AB27" s="147"/>
      <c r="AC27" s="147"/>
      <c r="AD27" s="147"/>
      <c r="AE27" s="147"/>
      <c r="AF27" s="147" t="s">
        <v>166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outlineLevel="1" x14ac:dyDescent="0.25">
      <c r="A28" s="166">
        <v>7</v>
      </c>
      <c r="B28" s="167" t="s">
        <v>591</v>
      </c>
      <c r="C28" s="183" t="s">
        <v>592</v>
      </c>
      <c r="D28" s="168" t="s">
        <v>561</v>
      </c>
      <c r="E28" s="169">
        <v>2630</v>
      </c>
      <c r="F28" s="170">
        <v>0</v>
      </c>
      <c r="G28" s="171">
        <f>ROUND(E28*F28,2)</f>
        <v>0</v>
      </c>
      <c r="H28" s="170">
        <v>0</v>
      </c>
      <c r="I28" s="171">
        <f>ROUND(E28*H28,2)</f>
        <v>0</v>
      </c>
      <c r="J28" s="170">
        <v>2.5</v>
      </c>
      <c r="K28" s="171">
        <f>ROUND(E28*J28,2)</f>
        <v>6575</v>
      </c>
      <c r="L28" s="171">
        <v>21</v>
      </c>
      <c r="M28" s="171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1"/>
      <c r="S28" s="172" t="s">
        <v>175</v>
      </c>
      <c r="T28" s="156">
        <v>0</v>
      </c>
      <c r="U28" s="156">
        <f>ROUND(E28*T28,2)</f>
        <v>0</v>
      </c>
      <c r="V28" s="156"/>
      <c r="W28" s="156" t="s">
        <v>163</v>
      </c>
      <c r="X28" s="147"/>
      <c r="Y28" s="147"/>
      <c r="Z28" s="147"/>
      <c r="AA28" s="147"/>
      <c r="AB28" s="147"/>
      <c r="AC28" s="147"/>
      <c r="AD28" s="147"/>
      <c r="AE28" s="147"/>
      <c r="AF28" s="147" t="s">
        <v>164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outlineLevel="1" x14ac:dyDescent="0.25">
      <c r="A29" s="154"/>
      <c r="B29" s="155"/>
      <c r="C29" s="255" t="s">
        <v>612</v>
      </c>
      <c r="D29" s="255"/>
      <c r="E29" s="255"/>
      <c r="F29" s="255"/>
      <c r="G29" s="2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47"/>
      <c r="Y29" s="147"/>
      <c r="Z29" s="147"/>
      <c r="AA29" s="147"/>
      <c r="AB29" s="147"/>
      <c r="AC29" s="147"/>
      <c r="AD29" s="147"/>
      <c r="AE29" s="147"/>
      <c r="AF29" s="147" t="s">
        <v>166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outlineLevel="1" x14ac:dyDescent="0.25">
      <c r="A30" s="154"/>
      <c r="B30" s="155"/>
      <c r="C30" s="254" t="s">
        <v>590</v>
      </c>
      <c r="D30" s="254"/>
      <c r="E30" s="254"/>
      <c r="F30" s="254"/>
      <c r="G30" s="254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166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54"/>
      <c r="B31" s="155"/>
      <c r="C31" s="184" t="s">
        <v>593</v>
      </c>
      <c r="D31" s="157"/>
      <c r="E31" s="158">
        <v>2630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47"/>
      <c r="Y31" s="147"/>
      <c r="Z31" s="147"/>
      <c r="AA31" s="147"/>
      <c r="AB31" s="147"/>
      <c r="AC31" s="147"/>
      <c r="AD31" s="147"/>
      <c r="AE31" s="147"/>
      <c r="AF31" s="147" t="s">
        <v>153</v>
      </c>
      <c r="AG31" s="147">
        <v>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20.399999999999999" outlineLevel="1" x14ac:dyDescent="0.25">
      <c r="A32" s="166">
        <v>8</v>
      </c>
      <c r="B32" s="167" t="s">
        <v>594</v>
      </c>
      <c r="C32" s="183" t="s">
        <v>595</v>
      </c>
      <c r="D32" s="168" t="s">
        <v>490</v>
      </c>
      <c r="E32" s="169">
        <v>70</v>
      </c>
      <c r="F32" s="170">
        <v>0</v>
      </c>
      <c r="G32" s="171">
        <f>ROUND(E32*F32,2)</f>
        <v>0</v>
      </c>
      <c r="H32" s="170">
        <v>0</v>
      </c>
      <c r="I32" s="171">
        <f>ROUND(E32*H32,2)</f>
        <v>0</v>
      </c>
      <c r="J32" s="170">
        <v>289</v>
      </c>
      <c r="K32" s="171">
        <f>ROUND(E32*J32,2)</f>
        <v>20230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2" t="s">
        <v>175</v>
      </c>
      <c r="T32" s="156">
        <v>0</v>
      </c>
      <c r="U32" s="156">
        <f>ROUND(E32*T32,2)</f>
        <v>0</v>
      </c>
      <c r="V32" s="156"/>
      <c r="W32" s="156" t="s">
        <v>163</v>
      </c>
      <c r="X32" s="147"/>
      <c r="Y32" s="147"/>
      <c r="Z32" s="147"/>
      <c r="AA32" s="147"/>
      <c r="AB32" s="147"/>
      <c r="AC32" s="147"/>
      <c r="AD32" s="147"/>
      <c r="AE32" s="147"/>
      <c r="AF32" s="147" t="s">
        <v>164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54"/>
      <c r="B33" s="155"/>
      <c r="C33" s="255" t="s">
        <v>596</v>
      </c>
      <c r="D33" s="255"/>
      <c r="E33" s="255"/>
      <c r="F33" s="255"/>
      <c r="G33" s="255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47"/>
      <c r="Y33" s="147"/>
      <c r="Z33" s="147"/>
      <c r="AA33" s="147"/>
      <c r="AB33" s="147"/>
      <c r="AC33" s="147"/>
      <c r="AD33" s="147"/>
      <c r="AE33" s="147"/>
      <c r="AF33" s="147" t="s">
        <v>166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74">
        <v>9</v>
      </c>
      <c r="B34" s="175" t="s">
        <v>597</v>
      </c>
      <c r="C34" s="185" t="s">
        <v>598</v>
      </c>
      <c r="D34" s="176" t="s">
        <v>561</v>
      </c>
      <c r="E34" s="177">
        <v>1800</v>
      </c>
      <c r="F34" s="178">
        <v>0</v>
      </c>
      <c r="G34" s="179">
        <f>ROUND(E34*F34,2)</f>
        <v>0</v>
      </c>
      <c r="H34" s="178">
        <v>4</v>
      </c>
      <c r="I34" s="179">
        <f>ROUND(E34*H34,2)</f>
        <v>7200</v>
      </c>
      <c r="J34" s="178">
        <v>0</v>
      </c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80" t="s">
        <v>175</v>
      </c>
      <c r="T34" s="156">
        <v>0</v>
      </c>
      <c r="U34" s="156">
        <f>ROUND(E34*T34,2)</f>
        <v>0</v>
      </c>
      <c r="V34" s="156"/>
      <c r="W34" s="156" t="s">
        <v>170</v>
      </c>
      <c r="X34" s="147"/>
      <c r="Y34" s="147"/>
      <c r="Z34" s="147"/>
      <c r="AA34" s="147"/>
      <c r="AB34" s="147"/>
      <c r="AC34" s="147"/>
      <c r="AD34" s="147"/>
      <c r="AE34" s="147"/>
      <c r="AF34" s="147" t="s">
        <v>171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outlineLevel="1" x14ac:dyDescent="0.25">
      <c r="A35" s="174">
        <v>10</v>
      </c>
      <c r="B35" s="175" t="s">
        <v>599</v>
      </c>
      <c r="C35" s="185" t="s">
        <v>600</v>
      </c>
      <c r="D35" s="176" t="s">
        <v>561</v>
      </c>
      <c r="E35" s="177">
        <v>830</v>
      </c>
      <c r="F35" s="178">
        <v>0</v>
      </c>
      <c r="G35" s="179">
        <f>ROUND(E35*F35,2)</f>
        <v>0</v>
      </c>
      <c r="H35" s="178">
        <v>13</v>
      </c>
      <c r="I35" s="179">
        <f>ROUND(E35*H35,2)</f>
        <v>10790</v>
      </c>
      <c r="J35" s="178">
        <v>0</v>
      </c>
      <c r="K35" s="179">
        <f>ROUND(E35*J35,2)</f>
        <v>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80" t="s">
        <v>175</v>
      </c>
      <c r="T35" s="156">
        <v>0</v>
      </c>
      <c r="U35" s="156">
        <f>ROUND(E35*T35,2)</f>
        <v>0</v>
      </c>
      <c r="V35" s="156"/>
      <c r="W35" s="156" t="s">
        <v>170</v>
      </c>
      <c r="X35" s="147"/>
      <c r="Y35" s="147"/>
      <c r="Z35" s="147"/>
      <c r="AA35" s="147"/>
      <c r="AB35" s="147"/>
      <c r="AC35" s="147"/>
      <c r="AD35" s="147"/>
      <c r="AE35" s="147"/>
      <c r="AF35" s="147" t="s">
        <v>171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outlineLevel="1" x14ac:dyDescent="0.25">
      <c r="A36" s="174">
        <v>11</v>
      </c>
      <c r="B36" s="175" t="s">
        <v>601</v>
      </c>
      <c r="C36" s="185" t="s">
        <v>602</v>
      </c>
      <c r="D36" s="176" t="s">
        <v>315</v>
      </c>
      <c r="E36" s="177">
        <v>9</v>
      </c>
      <c r="F36" s="178">
        <v>0</v>
      </c>
      <c r="G36" s="179">
        <f>ROUND(E36*F36,2)</f>
        <v>0</v>
      </c>
      <c r="H36" s="178">
        <v>4950</v>
      </c>
      <c r="I36" s="179">
        <f>ROUND(E36*H36,2)</f>
        <v>44550</v>
      </c>
      <c r="J36" s="178">
        <v>0</v>
      </c>
      <c r="K36" s="179">
        <f>ROUND(E36*J36,2)</f>
        <v>0</v>
      </c>
      <c r="L36" s="179">
        <v>21</v>
      </c>
      <c r="M36" s="179">
        <f>G36*(1+L36/100)</f>
        <v>0</v>
      </c>
      <c r="N36" s="179">
        <v>5.9999999999999995E-4</v>
      </c>
      <c r="O36" s="179">
        <f>ROUND(E36*N36,2)</f>
        <v>0.01</v>
      </c>
      <c r="P36" s="179">
        <v>0</v>
      </c>
      <c r="Q36" s="179">
        <f>ROUND(E36*P36,2)</f>
        <v>0</v>
      </c>
      <c r="R36" s="179"/>
      <c r="S36" s="180" t="s">
        <v>175</v>
      </c>
      <c r="T36" s="156">
        <v>0</v>
      </c>
      <c r="U36" s="156">
        <f>ROUND(E36*T36,2)</f>
        <v>0</v>
      </c>
      <c r="V36" s="156"/>
      <c r="W36" s="156" t="s">
        <v>170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171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outlineLevel="1" x14ac:dyDescent="0.25">
      <c r="A37" s="174">
        <v>12</v>
      </c>
      <c r="B37" s="175" t="s">
        <v>167</v>
      </c>
      <c r="C37" s="185" t="s">
        <v>168</v>
      </c>
      <c r="D37" s="176" t="s">
        <v>145</v>
      </c>
      <c r="E37" s="177">
        <v>80</v>
      </c>
      <c r="F37" s="178">
        <v>0</v>
      </c>
      <c r="G37" s="179">
        <f>ROUND(E37*F37,2)</f>
        <v>0</v>
      </c>
      <c r="H37" s="178">
        <v>418</v>
      </c>
      <c r="I37" s="179">
        <f>ROUND(E37*H37,2)</f>
        <v>33440</v>
      </c>
      <c r="J37" s="178">
        <v>0</v>
      </c>
      <c r="K37" s="179">
        <f>ROUND(E37*J37,2)</f>
        <v>0</v>
      </c>
      <c r="L37" s="179">
        <v>21</v>
      </c>
      <c r="M37" s="179">
        <f>G37*(1+L37/100)</f>
        <v>0</v>
      </c>
      <c r="N37" s="179">
        <v>1.67</v>
      </c>
      <c r="O37" s="179">
        <f>ROUND(E37*N37,2)</f>
        <v>133.6</v>
      </c>
      <c r="P37" s="179">
        <v>0</v>
      </c>
      <c r="Q37" s="179">
        <f>ROUND(E37*P37,2)</f>
        <v>0</v>
      </c>
      <c r="R37" s="179" t="s">
        <v>169</v>
      </c>
      <c r="S37" s="180" t="s">
        <v>147</v>
      </c>
      <c r="T37" s="156">
        <v>0</v>
      </c>
      <c r="U37" s="156">
        <f>ROUND(E37*T37,2)</f>
        <v>0</v>
      </c>
      <c r="V37" s="156"/>
      <c r="W37" s="156" t="s">
        <v>170</v>
      </c>
      <c r="X37" s="147"/>
      <c r="Y37" s="147"/>
      <c r="Z37" s="147"/>
      <c r="AA37" s="147"/>
      <c r="AB37" s="147"/>
      <c r="AC37" s="147"/>
      <c r="AD37" s="147"/>
      <c r="AE37" s="147"/>
      <c r="AF37" s="147" t="s">
        <v>171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outlineLevel="1" x14ac:dyDescent="0.25">
      <c r="A38" s="166">
        <v>13</v>
      </c>
      <c r="B38" s="167" t="s">
        <v>603</v>
      </c>
      <c r="C38" s="183" t="s">
        <v>604</v>
      </c>
      <c r="D38" s="168" t="s">
        <v>605</v>
      </c>
      <c r="E38" s="169">
        <v>36.25</v>
      </c>
      <c r="F38" s="170">
        <v>0</v>
      </c>
      <c r="G38" s="171">
        <f>ROUND(E38*F38,2)</f>
        <v>0</v>
      </c>
      <c r="H38" s="170">
        <v>860</v>
      </c>
      <c r="I38" s="171">
        <f>ROUND(E38*H38,2)</f>
        <v>31175</v>
      </c>
      <c r="J38" s="170">
        <v>0</v>
      </c>
      <c r="K38" s="171">
        <f>ROUND(E38*J38,2)</f>
        <v>0</v>
      </c>
      <c r="L38" s="171">
        <v>21</v>
      </c>
      <c r="M38" s="171">
        <f>G38*(1+L38/100)</f>
        <v>0</v>
      </c>
      <c r="N38" s="171">
        <v>1E-3</v>
      </c>
      <c r="O38" s="171">
        <f>ROUND(E38*N38,2)</f>
        <v>0.04</v>
      </c>
      <c r="P38" s="171">
        <v>0</v>
      </c>
      <c r="Q38" s="171">
        <f>ROUND(E38*P38,2)</f>
        <v>0</v>
      </c>
      <c r="R38" s="171" t="s">
        <v>169</v>
      </c>
      <c r="S38" s="172" t="s">
        <v>175</v>
      </c>
      <c r="T38" s="156">
        <v>0</v>
      </c>
      <c r="U38" s="156">
        <f>ROUND(E38*T38,2)</f>
        <v>0</v>
      </c>
      <c r="V38" s="156"/>
      <c r="W38" s="156" t="s">
        <v>170</v>
      </c>
      <c r="X38" s="147"/>
      <c r="Y38" s="147"/>
      <c r="Z38" s="147"/>
      <c r="AA38" s="147"/>
      <c r="AB38" s="147"/>
      <c r="AC38" s="147"/>
      <c r="AD38" s="147"/>
      <c r="AE38" s="147"/>
      <c r="AF38" s="147" t="s">
        <v>171</v>
      </c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outlineLevel="1" x14ac:dyDescent="0.25">
      <c r="A39" s="154"/>
      <c r="B39" s="155"/>
      <c r="C39" s="184" t="s">
        <v>606</v>
      </c>
      <c r="D39" s="157"/>
      <c r="E39" s="158">
        <v>36.25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47"/>
      <c r="Y39" s="147"/>
      <c r="Z39" s="147"/>
      <c r="AA39" s="147"/>
      <c r="AB39" s="147"/>
      <c r="AC39" s="147"/>
      <c r="AD39" s="147"/>
      <c r="AE39" s="147"/>
      <c r="AF39" s="147" t="s">
        <v>153</v>
      </c>
      <c r="AG39" s="147">
        <v>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66">
        <v>14</v>
      </c>
      <c r="B40" s="167" t="s">
        <v>607</v>
      </c>
      <c r="C40" s="183" t="s">
        <v>608</v>
      </c>
      <c r="D40" s="168" t="s">
        <v>265</v>
      </c>
      <c r="E40" s="169">
        <v>96</v>
      </c>
      <c r="F40" s="170">
        <v>0</v>
      </c>
      <c r="G40" s="171">
        <f>ROUND(E40*F40,2)</f>
        <v>0</v>
      </c>
      <c r="H40" s="170">
        <v>340</v>
      </c>
      <c r="I40" s="171">
        <f>ROUND(E40*H40,2)</f>
        <v>32640</v>
      </c>
      <c r="J40" s="170">
        <v>0</v>
      </c>
      <c r="K40" s="171">
        <f>ROUND(E40*J40,2)</f>
        <v>0</v>
      </c>
      <c r="L40" s="171">
        <v>21</v>
      </c>
      <c r="M40" s="171">
        <f>G40*(1+L40/100)</f>
        <v>0</v>
      </c>
      <c r="N40" s="171">
        <v>1</v>
      </c>
      <c r="O40" s="171">
        <f>ROUND(E40*N40,2)</f>
        <v>96</v>
      </c>
      <c r="P40" s="171">
        <v>0</v>
      </c>
      <c r="Q40" s="171">
        <f>ROUND(E40*P40,2)</f>
        <v>0</v>
      </c>
      <c r="R40" s="171" t="s">
        <v>169</v>
      </c>
      <c r="S40" s="172" t="s">
        <v>147</v>
      </c>
      <c r="T40" s="156">
        <v>0</v>
      </c>
      <c r="U40" s="156">
        <f>ROUND(E40*T40,2)</f>
        <v>0</v>
      </c>
      <c r="V40" s="156"/>
      <c r="W40" s="156" t="s">
        <v>170</v>
      </c>
      <c r="X40" s="147"/>
      <c r="Y40" s="147"/>
      <c r="Z40" s="147"/>
      <c r="AA40" s="147"/>
      <c r="AB40" s="147"/>
      <c r="AC40" s="147"/>
      <c r="AD40" s="147"/>
      <c r="AE40" s="147"/>
      <c r="AF40" s="147" t="s">
        <v>171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outlineLevel="1" x14ac:dyDescent="0.25">
      <c r="A41" s="154"/>
      <c r="B41" s="155"/>
      <c r="C41" s="184" t="s">
        <v>609</v>
      </c>
      <c r="D41" s="157"/>
      <c r="E41" s="158">
        <v>96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47"/>
      <c r="Y41" s="147"/>
      <c r="Z41" s="147"/>
      <c r="AA41" s="147"/>
      <c r="AB41" s="147"/>
      <c r="AC41" s="147"/>
      <c r="AD41" s="147"/>
      <c r="AE41" s="147"/>
      <c r="AF41" s="147" t="s">
        <v>153</v>
      </c>
      <c r="AG41" s="147">
        <v>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x14ac:dyDescent="0.25">
      <c r="A42" s="160" t="s">
        <v>141</v>
      </c>
      <c r="B42" s="161" t="s">
        <v>89</v>
      </c>
      <c r="C42" s="182" t="s">
        <v>90</v>
      </c>
      <c r="D42" s="162"/>
      <c r="E42" s="163"/>
      <c r="F42" s="164"/>
      <c r="G42" s="164">
        <f>SUMIF(AF43:AF43,"&lt;&gt;NOR",G43:G43)</f>
        <v>0</v>
      </c>
      <c r="H42" s="164"/>
      <c r="I42" s="164">
        <f>SUM(I43:I43)</f>
        <v>0</v>
      </c>
      <c r="J42" s="164"/>
      <c r="K42" s="164">
        <f>SUM(K43:K43)</f>
        <v>22091.53</v>
      </c>
      <c r="L42" s="164"/>
      <c r="M42" s="164">
        <f>SUM(M43:M43)</f>
        <v>0</v>
      </c>
      <c r="N42" s="164"/>
      <c r="O42" s="164">
        <f>SUM(O43:O43)</f>
        <v>0</v>
      </c>
      <c r="P42" s="164"/>
      <c r="Q42" s="164">
        <f>SUM(Q43:Q43)</f>
        <v>0</v>
      </c>
      <c r="R42" s="164"/>
      <c r="S42" s="165"/>
      <c r="T42" s="159"/>
      <c r="U42" s="159">
        <f>SUM(U43:U43)</f>
        <v>442.06</v>
      </c>
      <c r="V42" s="159"/>
      <c r="W42" s="159"/>
      <c r="AF42" t="s">
        <v>142</v>
      </c>
    </row>
    <row r="43" spans="1:59" ht="20.399999999999999" outlineLevel="1" x14ac:dyDescent="0.25">
      <c r="A43" s="166">
        <v>15</v>
      </c>
      <c r="B43" s="167" t="s">
        <v>610</v>
      </c>
      <c r="C43" s="183" t="s">
        <v>611</v>
      </c>
      <c r="D43" s="168" t="s">
        <v>265</v>
      </c>
      <c r="E43" s="169">
        <v>229.64165</v>
      </c>
      <c r="F43" s="170">
        <v>0</v>
      </c>
      <c r="G43" s="171">
        <f>ROUND(E43*F43,2)</f>
        <v>0</v>
      </c>
      <c r="H43" s="170">
        <v>0</v>
      </c>
      <c r="I43" s="171">
        <f>ROUND(E43*H43,2)</f>
        <v>0</v>
      </c>
      <c r="J43" s="170">
        <v>96.2</v>
      </c>
      <c r="K43" s="171">
        <f>ROUND(E43*J43,2)</f>
        <v>22091.53</v>
      </c>
      <c r="L43" s="171">
        <v>21</v>
      </c>
      <c r="M43" s="171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1" t="s">
        <v>423</v>
      </c>
      <c r="S43" s="172" t="s">
        <v>175</v>
      </c>
      <c r="T43" s="156">
        <v>1.925</v>
      </c>
      <c r="U43" s="156">
        <f>ROUND(E43*T43,2)</f>
        <v>442.06</v>
      </c>
      <c r="V43" s="156"/>
      <c r="W43" s="156" t="s">
        <v>424</v>
      </c>
      <c r="X43" s="147"/>
      <c r="Y43" s="147"/>
      <c r="Z43" s="147"/>
      <c r="AA43" s="147"/>
      <c r="AB43" s="147"/>
      <c r="AC43" s="147"/>
      <c r="AD43" s="147"/>
      <c r="AE43" s="147"/>
      <c r="AF43" s="147" t="s">
        <v>425</v>
      </c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x14ac:dyDescent="0.25">
      <c r="A44" s="3"/>
      <c r="B44" s="4"/>
      <c r="C44" s="18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D44">
        <v>15</v>
      </c>
      <c r="AE44">
        <v>21</v>
      </c>
      <c r="AF44" t="s">
        <v>129</v>
      </c>
    </row>
    <row r="45" spans="1:59" x14ac:dyDescent="0.25">
      <c r="A45" s="150"/>
      <c r="B45" s="151" t="s">
        <v>29</v>
      </c>
      <c r="C45" s="187"/>
      <c r="D45" s="152"/>
      <c r="E45" s="153"/>
      <c r="F45" s="153"/>
      <c r="G45" s="181">
        <f>G8+G42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D45">
        <f>SUMIF(L7:L43,AD44,G7:G43)</f>
        <v>0</v>
      </c>
      <c r="AE45">
        <f>SUMIF(L7:L43,AE44,G7:G43)</f>
        <v>0</v>
      </c>
      <c r="AF45" t="s">
        <v>204</v>
      </c>
    </row>
    <row r="46" spans="1:59" x14ac:dyDescent="0.25">
      <c r="C46" s="188"/>
      <c r="D46" s="10"/>
      <c r="AF46" t="s">
        <v>206</v>
      </c>
    </row>
    <row r="47" spans="1:59" x14ac:dyDescent="0.25">
      <c r="D47" s="10"/>
    </row>
    <row r="48" spans="1:59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6NzYu/qER3Jb2gYUuaSvpQaE/mRBPqP5jp7naTxdg5DfjGL0RmqdnDzJI3vB6+Ur2LOHCTUB4610M6PoQ344gw==" saltValue="GH9TpKVOjS5HbgmPy9ExTA==" spinCount="100000" sheet="1" objects="1" scenarios="1"/>
  <protectedRanges>
    <protectedRange sqref="F9:F43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G5000"/>
  <sheetViews>
    <sheetView zoomScale="80" zoomScaleNormal="80" workbookViewId="0">
      <pane ySplit="7" topLeftCell="A8" activePane="bottomLeft" state="frozen"/>
      <selection pane="bottomLeft" activeCell="S8" sqref="A8:S8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  <col min="52" max="52" width="98.6640625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67</v>
      </c>
      <c r="C4" s="314" t="s">
        <v>68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85</v>
      </c>
      <c r="C8" s="182" t="s">
        <v>86</v>
      </c>
      <c r="D8" s="162"/>
      <c r="E8" s="163"/>
      <c r="F8" s="164"/>
      <c r="G8" s="164">
        <f>SUMIF(AF9:AF34,"&lt;&gt;NOR",G9:G34)</f>
        <v>0</v>
      </c>
      <c r="H8" s="164"/>
      <c r="I8" s="164">
        <f>SUM(I9:I34)</f>
        <v>112577.47</v>
      </c>
      <c r="J8" s="164"/>
      <c r="K8" s="164">
        <f>SUM(K9:K34)</f>
        <v>159681.53</v>
      </c>
      <c r="L8" s="164"/>
      <c r="M8" s="164">
        <f>SUM(M9:M34)</f>
        <v>0</v>
      </c>
      <c r="N8" s="164"/>
      <c r="O8" s="164">
        <f>SUM(O9:O34)</f>
        <v>37.169999999999995</v>
      </c>
      <c r="P8" s="164"/>
      <c r="Q8" s="164">
        <f>SUM(Q9:Q34)</f>
        <v>0.24</v>
      </c>
      <c r="R8" s="164"/>
      <c r="S8" s="165"/>
      <c r="T8" s="159"/>
      <c r="U8" s="159">
        <f>SUM(U9:U34)</f>
        <v>53.11</v>
      </c>
      <c r="V8" s="159"/>
      <c r="W8" s="159"/>
      <c r="AF8" t="s">
        <v>142</v>
      </c>
    </row>
    <row r="9" spans="1:59" outlineLevel="1" x14ac:dyDescent="0.25">
      <c r="A9" s="166">
        <v>1</v>
      </c>
      <c r="B9" s="167" t="s">
        <v>613</v>
      </c>
      <c r="C9" s="183" t="s">
        <v>614</v>
      </c>
      <c r="D9" s="168" t="s">
        <v>315</v>
      </c>
      <c r="E9" s="169">
        <v>10</v>
      </c>
      <c r="F9" s="170">
        <v>0</v>
      </c>
      <c r="G9" s="171">
        <f>ROUND(E9*F9,2)</f>
        <v>0</v>
      </c>
      <c r="H9" s="170">
        <v>741.88</v>
      </c>
      <c r="I9" s="171">
        <f>ROUND(E9*H9,2)</f>
        <v>7418.8</v>
      </c>
      <c r="J9" s="170">
        <v>1583.12</v>
      </c>
      <c r="K9" s="171">
        <f>ROUND(E9*J9,2)</f>
        <v>15831.2</v>
      </c>
      <c r="L9" s="171">
        <v>21</v>
      </c>
      <c r="M9" s="171">
        <f>G9*(1+L9/100)</f>
        <v>0</v>
      </c>
      <c r="N9" s="171">
        <v>0.43093999999999999</v>
      </c>
      <c r="O9" s="171">
        <f>ROUND(E9*N9,2)</f>
        <v>4.3099999999999996</v>
      </c>
      <c r="P9" s="171">
        <v>0</v>
      </c>
      <c r="Q9" s="171">
        <f>ROUND(E9*P9,2)</f>
        <v>0</v>
      </c>
      <c r="R9" s="171" t="s">
        <v>322</v>
      </c>
      <c r="S9" s="172" t="s">
        <v>147</v>
      </c>
      <c r="T9" s="156">
        <v>3.8170000000000002</v>
      </c>
      <c r="U9" s="156">
        <f>ROUND(E9*T9,2)</f>
        <v>38.17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40.799999999999997" outlineLevel="1" x14ac:dyDescent="0.25">
      <c r="A10" s="154"/>
      <c r="B10" s="155"/>
      <c r="C10" s="253" t="s">
        <v>615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47"/>
      <c r="Y10" s="147"/>
      <c r="Z10" s="147"/>
      <c r="AA10" s="147"/>
      <c r="AB10" s="147"/>
      <c r="AC10" s="147"/>
      <c r="AD10" s="147"/>
      <c r="AE10" s="147"/>
      <c r="AF10" s="147" t="s">
        <v>151</v>
      </c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73" t="str">
        <f>C10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10" s="147"/>
      <c r="BB10" s="147"/>
      <c r="BC10" s="147"/>
      <c r="BD10" s="147"/>
      <c r="BE10" s="147"/>
      <c r="BF10" s="147"/>
      <c r="BG10" s="147"/>
    </row>
    <row r="11" spans="1:59" ht="20.399999999999999" outlineLevel="1" x14ac:dyDescent="0.25">
      <c r="A11" s="174">
        <v>2</v>
      </c>
      <c r="B11" s="175" t="s">
        <v>616</v>
      </c>
      <c r="C11" s="185" t="s">
        <v>617</v>
      </c>
      <c r="D11" s="176" t="s">
        <v>315</v>
      </c>
      <c r="E11" s="177">
        <v>10</v>
      </c>
      <c r="F11" s="178">
        <v>0</v>
      </c>
      <c r="G11" s="179">
        <f>ROUND(E11*F11,2)</f>
        <v>0</v>
      </c>
      <c r="H11" s="178">
        <v>3294.22</v>
      </c>
      <c r="I11" s="179">
        <f>ROUND(E11*H11,2)</f>
        <v>32942.199999999997</v>
      </c>
      <c r="J11" s="178">
        <v>780.78</v>
      </c>
      <c r="K11" s="179">
        <f>ROUND(E11*J11,2)</f>
        <v>7807.8</v>
      </c>
      <c r="L11" s="179">
        <v>21</v>
      </c>
      <c r="M11" s="179">
        <f>G11*(1+L11/100)</f>
        <v>0</v>
      </c>
      <c r="N11" s="179">
        <v>0.16502</v>
      </c>
      <c r="O11" s="179">
        <f>ROUND(E11*N11,2)</f>
        <v>1.65</v>
      </c>
      <c r="P11" s="179">
        <v>0</v>
      </c>
      <c r="Q11" s="179">
        <f>ROUND(E11*P11,2)</f>
        <v>0</v>
      </c>
      <c r="R11" s="179" t="s">
        <v>618</v>
      </c>
      <c r="S11" s="180" t="s">
        <v>147</v>
      </c>
      <c r="T11" s="156">
        <v>1.3140000000000001</v>
      </c>
      <c r="U11" s="156">
        <f>ROUND(E11*T11,2)</f>
        <v>13.14</v>
      </c>
      <c r="V11" s="156"/>
      <c r="W11" s="156" t="s">
        <v>148</v>
      </c>
      <c r="X11" s="147"/>
      <c r="Y11" s="147"/>
      <c r="Z11" s="147"/>
      <c r="AA11" s="147"/>
      <c r="AB11" s="147"/>
      <c r="AC11" s="147"/>
      <c r="AD11" s="147"/>
      <c r="AE11" s="147"/>
      <c r="AF11" s="147" t="s">
        <v>149</v>
      </c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30.6" outlineLevel="1" x14ac:dyDescent="0.25">
      <c r="A12" s="174">
        <v>3</v>
      </c>
      <c r="B12" s="175" t="s">
        <v>619</v>
      </c>
      <c r="C12" s="185" t="s">
        <v>620</v>
      </c>
      <c r="D12" s="176" t="s">
        <v>315</v>
      </c>
      <c r="E12" s="177">
        <v>10</v>
      </c>
      <c r="F12" s="178">
        <v>0</v>
      </c>
      <c r="G12" s="179">
        <f>ROUND(E12*F12,2)</f>
        <v>0</v>
      </c>
      <c r="H12" s="178">
        <v>0</v>
      </c>
      <c r="I12" s="179">
        <f>ROUND(E12*H12,2)</f>
        <v>0</v>
      </c>
      <c r="J12" s="178">
        <v>58.4</v>
      </c>
      <c r="K12" s="179">
        <f>ROUND(E12*J12,2)</f>
        <v>584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2.4E-2</v>
      </c>
      <c r="Q12" s="179">
        <f>ROUND(E12*P12,2)</f>
        <v>0.24</v>
      </c>
      <c r="R12" s="179" t="s">
        <v>412</v>
      </c>
      <c r="S12" s="180" t="s">
        <v>147</v>
      </c>
      <c r="T12" s="156">
        <v>0.18</v>
      </c>
      <c r="U12" s="156">
        <f>ROUND(E12*T12,2)</f>
        <v>1.8</v>
      </c>
      <c r="V12" s="156"/>
      <c r="W12" s="156" t="s">
        <v>148</v>
      </c>
      <c r="X12" s="147"/>
      <c r="Y12" s="147"/>
      <c r="Z12" s="147"/>
      <c r="AA12" s="147"/>
      <c r="AB12" s="147"/>
      <c r="AC12" s="147"/>
      <c r="AD12" s="147"/>
      <c r="AE12" s="147"/>
      <c r="AF12" s="147" t="s">
        <v>149</v>
      </c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outlineLevel="1" x14ac:dyDescent="0.25">
      <c r="A13" s="166">
        <v>4</v>
      </c>
      <c r="B13" s="167" t="s">
        <v>621</v>
      </c>
      <c r="C13" s="183" t="s">
        <v>837</v>
      </c>
      <c r="D13" s="168" t="s">
        <v>335</v>
      </c>
      <c r="E13" s="169">
        <v>33</v>
      </c>
      <c r="F13" s="170">
        <v>0</v>
      </c>
      <c r="G13" s="171">
        <f>ROUND(E13*F13,2)</f>
        <v>0</v>
      </c>
      <c r="H13" s="170">
        <v>431.24</v>
      </c>
      <c r="I13" s="171">
        <f>ROUND(E13*H13,2)</f>
        <v>14230.92</v>
      </c>
      <c r="J13" s="170">
        <v>483.76</v>
      </c>
      <c r="K13" s="171">
        <f>ROUND(E13*J13,2)</f>
        <v>15964.08</v>
      </c>
      <c r="L13" s="171">
        <v>21</v>
      </c>
      <c r="M13" s="171">
        <f>G13*(1+L13/100)</f>
        <v>0</v>
      </c>
      <c r="N13" s="171">
        <v>0.21664</v>
      </c>
      <c r="O13" s="171">
        <f>ROUND(E13*N13,2)</f>
        <v>7.15</v>
      </c>
      <c r="P13" s="171">
        <v>0</v>
      </c>
      <c r="Q13" s="171">
        <f>ROUND(E13*P13,2)</f>
        <v>0</v>
      </c>
      <c r="R13" s="171" t="s">
        <v>588</v>
      </c>
      <c r="S13" s="172" t="s">
        <v>147</v>
      </c>
      <c r="T13" s="156">
        <v>0</v>
      </c>
      <c r="U13" s="156">
        <f>ROUND(E13*T13,2)</f>
        <v>0</v>
      </c>
      <c r="V13" s="156"/>
      <c r="W13" s="156" t="s">
        <v>163</v>
      </c>
      <c r="X13" s="147"/>
      <c r="Y13" s="147"/>
      <c r="Z13" s="147"/>
      <c r="AA13" s="147"/>
      <c r="AB13" s="147"/>
      <c r="AC13" s="147"/>
      <c r="AD13" s="147"/>
      <c r="AE13" s="147"/>
      <c r="AF13" s="147" t="s">
        <v>164</v>
      </c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61.2" outlineLevel="1" x14ac:dyDescent="0.25">
      <c r="A14" s="154"/>
      <c r="B14" s="155"/>
      <c r="C14" s="253" t="s">
        <v>622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47"/>
      <c r="Y14" s="147"/>
      <c r="Z14" s="147"/>
      <c r="AA14" s="147"/>
      <c r="AB14" s="147"/>
      <c r="AC14" s="147"/>
      <c r="AD14" s="147"/>
      <c r="AE14" s="147"/>
      <c r="AF14" s="147" t="s">
        <v>151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73" t="str">
        <f>C14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A14" s="147"/>
      <c r="BB14" s="147"/>
      <c r="BC14" s="147"/>
      <c r="BD14" s="147"/>
      <c r="BE14" s="147"/>
      <c r="BF14" s="147"/>
      <c r="BG14" s="147"/>
    </row>
    <row r="15" spans="1:59" outlineLevel="1" x14ac:dyDescent="0.25">
      <c r="A15" s="154"/>
      <c r="B15" s="155"/>
      <c r="C15" s="184" t="s">
        <v>623</v>
      </c>
      <c r="D15" s="157"/>
      <c r="E15" s="158">
        <v>33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47"/>
      <c r="Y15" s="147"/>
      <c r="Z15" s="147"/>
      <c r="AA15" s="147"/>
      <c r="AB15" s="147"/>
      <c r="AC15" s="147"/>
      <c r="AD15" s="147"/>
      <c r="AE15" s="147"/>
      <c r="AF15" s="147" t="s">
        <v>153</v>
      </c>
      <c r="AG15" s="147">
        <v>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outlineLevel="1" x14ac:dyDescent="0.25">
      <c r="A16" s="166">
        <v>5</v>
      </c>
      <c r="B16" s="167" t="s">
        <v>624</v>
      </c>
      <c r="C16" s="183" t="s">
        <v>838</v>
      </c>
      <c r="D16" s="168" t="s">
        <v>335</v>
      </c>
      <c r="E16" s="169">
        <v>25</v>
      </c>
      <c r="F16" s="170">
        <v>0</v>
      </c>
      <c r="G16" s="171">
        <f>ROUND(E16*F16,2)</f>
        <v>0</v>
      </c>
      <c r="H16" s="170">
        <v>920</v>
      </c>
      <c r="I16" s="171">
        <f>ROUND(E16*H16,2)</f>
        <v>23000</v>
      </c>
      <c r="J16" s="170">
        <v>0</v>
      </c>
      <c r="K16" s="171">
        <f>ROUND(E16*J16,2)</f>
        <v>0</v>
      </c>
      <c r="L16" s="171">
        <v>21</v>
      </c>
      <c r="M16" s="171">
        <f>G16*(1+L16/100)</f>
        <v>0</v>
      </c>
      <c r="N16" s="171">
        <v>0.21664</v>
      </c>
      <c r="O16" s="171">
        <f>ROUND(E16*N16,2)</f>
        <v>5.42</v>
      </c>
      <c r="P16" s="171">
        <v>0</v>
      </c>
      <c r="Q16" s="171">
        <f>ROUND(E16*P16,2)</f>
        <v>0</v>
      </c>
      <c r="R16" s="171" t="s">
        <v>588</v>
      </c>
      <c r="S16" s="172" t="s">
        <v>175</v>
      </c>
      <c r="T16" s="156">
        <v>0</v>
      </c>
      <c r="U16" s="156">
        <f>ROUND(E16*T16,2)</f>
        <v>0</v>
      </c>
      <c r="V16" s="156"/>
      <c r="W16" s="156" t="s">
        <v>163</v>
      </c>
      <c r="X16" s="147"/>
      <c r="Y16" s="147"/>
      <c r="Z16" s="147"/>
      <c r="AA16" s="147"/>
      <c r="AB16" s="147"/>
      <c r="AC16" s="147"/>
      <c r="AD16" s="147"/>
      <c r="AE16" s="147"/>
      <c r="AF16" s="147" t="s">
        <v>164</v>
      </c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61.2" outlineLevel="1" x14ac:dyDescent="0.25">
      <c r="A17" s="154"/>
      <c r="B17" s="155"/>
      <c r="C17" s="253" t="s">
        <v>622</v>
      </c>
      <c r="D17" s="253"/>
      <c r="E17" s="253"/>
      <c r="F17" s="253"/>
      <c r="G17" s="253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47"/>
      <c r="Y17" s="147"/>
      <c r="Z17" s="147"/>
      <c r="AA17" s="147"/>
      <c r="AB17" s="147"/>
      <c r="AC17" s="147"/>
      <c r="AD17" s="147"/>
      <c r="AE17" s="147"/>
      <c r="AF17" s="147" t="s">
        <v>151</v>
      </c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73" t="str">
        <f>C17</f>
        <v>hloubení rýh nezapažených, šířky do 200 cm, v hornině 3 (včetně příplatku za lepivost), se svislým přemístěním, lože pod potrubí z písku a štěrkopísku do 63 mm, dodávka a montáž potrubí z trub polyetylénových tlakových hrdlových vnějšího průměru podle popisu, tlaková zkouška potrubí, proplach a dezinfekce, obsyp potrubí sypaninou bez prohození materiálem připraveným podél výkopu ve vzdálenosti do 3 m od jeho okraje, pro jakoukoliv míru zhutnění, zásyp rýhy sypaninou z jakékoliv horniny, s uložením výkopku ve vrstvách, se zhutněním.</v>
      </c>
      <c r="BA17" s="147"/>
      <c r="BB17" s="147"/>
      <c r="BC17" s="147"/>
      <c r="BD17" s="147"/>
      <c r="BE17" s="147"/>
      <c r="BF17" s="147"/>
      <c r="BG17" s="147"/>
    </row>
    <row r="18" spans="1:59" outlineLevel="1" x14ac:dyDescent="0.25">
      <c r="A18" s="154"/>
      <c r="B18" s="155"/>
      <c r="C18" s="184" t="s">
        <v>625</v>
      </c>
      <c r="D18" s="157"/>
      <c r="E18" s="158">
        <v>25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47"/>
      <c r="Y18" s="147"/>
      <c r="Z18" s="147"/>
      <c r="AA18" s="147"/>
      <c r="AB18" s="147"/>
      <c r="AC18" s="147"/>
      <c r="AD18" s="147"/>
      <c r="AE18" s="147"/>
      <c r="AF18" s="147" t="s">
        <v>153</v>
      </c>
      <c r="AG18" s="147">
        <v>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outlineLevel="1" x14ac:dyDescent="0.25">
      <c r="A19" s="166">
        <v>6</v>
      </c>
      <c r="B19" s="167" t="s">
        <v>626</v>
      </c>
      <c r="C19" s="183" t="s">
        <v>839</v>
      </c>
      <c r="D19" s="168" t="s">
        <v>335</v>
      </c>
      <c r="E19" s="169">
        <v>19</v>
      </c>
      <c r="F19" s="170">
        <v>0</v>
      </c>
      <c r="G19" s="171">
        <f>ROUND(E19*F19,2)</f>
        <v>0</v>
      </c>
      <c r="H19" s="170">
        <v>366.25</v>
      </c>
      <c r="I19" s="171">
        <f>ROUND(E19*H19,2)</f>
        <v>6958.75</v>
      </c>
      <c r="J19" s="170">
        <v>942.75</v>
      </c>
      <c r="K19" s="171">
        <f>ROUND(E19*J19,2)</f>
        <v>17912.25</v>
      </c>
      <c r="L19" s="171">
        <v>21</v>
      </c>
      <c r="M19" s="171">
        <f>G19*(1+L19/100)</f>
        <v>0</v>
      </c>
      <c r="N19" s="171">
        <v>0.46866000000000002</v>
      </c>
      <c r="O19" s="171">
        <f>ROUND(E19*N19,2)</f>
        <v>8.9</v>
      </c>
      <c r="P19" s="171">
        <v>0</v>
      </c>
      <c r="Q19" s="171">
        <f>ROUND(E19*P19,2)</f>
        <v>0</v>
      </c>
      <c r="R19" s="171" t="s">
        <v>588</v>
      </c>
      <c r="S19" s="172" t="s">
        <v>147</v>
      </c>
      <c r="T19" s="156">
        <v>0</v>
      </c>
      <c r="U19" s="156">
        <f>ROUND(E19*T19,2)</f>
        <v>0</v>
      </c>
      <c r="V19" s="156"/>
      <c r="W19" s="156" t="s">
        <v>163</v>
      </c>
      <c r="X19" s="147"/>
      <c r="Y19" s="147"/>
      <c r="Z19" s="147"/>
      <c r="AA19" s="147"/>
      <c r="AB19" s="147"/>
      <c r="AC19" s="147"/>
      <c r="AD19" s="147"/>
      <c r="AE19" s="147"/>
      <c r="AF19" s="147" t="s">
        <v>164</v>
      </c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outlineLevel="1" x14ac:dyDescent="0.25">
      <c r="A20" s="154"/>
      <c r="B20" s="155"/>
      <c r="C20" s="184" t="s">
        <v>627</v>
      </c>
      <c r="D20" s="157"/>
      <c r="E20" s="158">
        <v>19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47"/>
      <c r="Y20" s="147"/>
      <c r="Z20" s="147"/>
      <c r="AA20" s="147"/>
      <c r="AB20" s="147"/>
      <c r="AC20" s="147"/>
      <c r="AD20" s="147"/>
      <c r="AE20" s="147"/>
      <c r="AF20" s="147" t="s">
        <v>153</v>
      </c>
      <c r="AG20" s="147">
        <v>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outlineLevel="1" x14ac:dyDescent="0.25">
      <c r="A21" s="166">
        <v>7</v>
      </c>
      <c r="B21" s="167" t="s">
        <v>628</v>
      </c>
      <c r="C21" s="183" t="s">
        <v>840</v>
      </c>
      <c r="D21" s="168" t="s">
        <v>335</v>
      </c>
      <c r="E21" s="169">
        <v>2.5</v>
      </c>
      <c r="F21" s="170">
        <v>0</v>
      </c>
      <c r="G21" s="171">
        <f>ROUND(E21*F21,2)</f>
        <v>0</v>
      </c>
      <c r="H21" s="170">
        <v>472.8</v>
      </c>
      <c r="I21" s="171">
        <f>ROUND(E21*H21,2)</f>
        <v>1182</v>
      </c>
      <c r="J21" s="170">
        <v>958.2</v>
      </c>
      <c r="K21" s="171">
        <f>ROUND(E21*J21,2)</f>
        <v>2395.5</v>
      </c>
      <c r="L21" s="171">
        <v>21</v>
      </c>
      <c r="M21" s="171">
        <f>G21*(1+L21/100)</f>
        <v>0</v>
      </c>
      <c r="N21" s="171">
        <v>0.51870000000000005</v>
      </c>
      <c r="O21" s="171">
        <f>ROUND(E21*N21,2)</f>
        <v>1.3</v>
      </c>
      <c r="P21" s="171">
        <v>0</v>
      </c>
      <c r="Q21" s="171">
        <f>ROUND(E21*P21,2)</f>
        <v>0</v>
      </c>
      <c r="R21" s="171" t="s">
        <v>588</v>
      </c>
      <c r="S21" s="172" t="s">
        <v>147</v>
      </c>
      <c r="T21" s="156">
        <v>0</v>
      </c>
      <c r="U21" s="156">
        <f>ROUND(E21*T21,2)</f>
        <v>0</v>
      </c>
      <c r="V21" s="156"/>
      <c r="W21" s="156" t="s">
        <v>163</v>
      </c>
      <c r="X21" s="147"/>
      <c r="Y21" s="147"/>
      <c r="Z21" s="147"/>
      <c r="AA21" s="147"/>
      <c r="AB21" s="147"/>
      <c r="AC21" s="147"/>
      <c r="AD21" s="147"/>
      <c r="AE21" s="147"/>
      <c r="AF21" s="147" t="s">
        <v>164</v>
      </c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outlineLevel="1" x14ac:dyDescent="0.25">
      <c r="A22" s="154"/>
      <c r="B22" s="155"/>
      <c r="C22" s="184" t="s">
        <v>629</v>
      </c>
      <c r="D22" s="157"/>
      <c r="E22" s="158">
        <v>2.5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47"/>
      <c r="Y22" s="147"/>
      <c r="Z22" s="147"/>
      <c r="AA22" s="147"/>
      <c r="AB22" s="147"/>
      <c r="AC22" s="147"/>
      <c r="AD22" s="147"/>
      <c r="AE22" s="147"/>
      <c r="AF22" s="147" t="s">
        <v>153</v>
      </c>
      <c r="AG22" s="147">
        <v>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outlineLevel="1" x14ac:dyDescent="0.25">
      <c r="A23" s="174">
        <v>8</v>
      </c>
      <c r="B23" s="175" t="s">
        <v>630</v>
      </c>
      <c r="C23" s="185" t="s">
        <v>631</v>
      </c>
      <c r="D23" s="176" t="s">
        <v>315</v>
      </c>
      <c r="E23" s="177">
        <v>1</v>
      </c>
      <c r="F23" s="178">
        <v>0</v>
      </c>
      <c r="G23" s="179">
        <f>ROUND(E23*F23,2)</f>
        <v>0</v>
      </c>
      <c r="H23" s="178">
        <v>8914.2800000000007</v>
      </c>
      <c r="I23" s="179">
        <f>ROUND(E23*H23,2)</f>
        <v>8914.2800000000007</v>
      </c>
      <c r="J23" s="178">
        <v>540.72</v>
      </c>
      <c r="K23" s="179">
        <f>ROUND(E23*J23,2)</f>
        <v>540.72</v>
      </c>
      <c r="L23" s="179">
        <v>21</v>
      </c>
      <c r="M23" s="179">
        <f>G23*(1+L23/100)</f>
        <v>0</v>
      </c>
      <c r="N23" s="179">
        <v>0.57065999999999995</v>
      </c>
      <c r="O23" s="179">
        <f>ROUND(E23*N23,2)</f>
        <v>0.56999999999999995</v>
      </c>
      <c r="P23" s="179">
        <v>0</v>
      </c>
      <c r="Q23" s="179">
        <f>ROUND(E23*P23,2)</f>
        <v>0</v>
      </c>
      <c r="R23" s="179" t="s">
        <v>588</v>
      </c>
      <c r="S23" s="180" t="s">
        <v>147</v>
      </c>
      <c r="T23" s="156">
        <v>0</v>
      </c>
      <c r="U23" s="156">
        <f>ROUND(E23*T23,2)</f>
        <v>0</v>
      </c>
      <c r="V23" s="156"/>
      <c r="W23" s="156" t="s">
        <v>163</v>
      </c>
      <c r="X23" s="147"/>
      <c r="Y23" s="147"/>
      <c r="Z23" s="147"/>
      <c r="AA23" s="147"/>
      <c r="AB23" s="147"/>
      <c r="AC23" s="147"/>
      <c r="AD23" s="147"/>
      <c r="AE23" s="147"/>
      <c r="AF23" s="147" t="s">
        <v>164</v>
      </c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20.399999999999999" outlineLevel="1" x14ac:dyDescent="0.25">
      <c r="A24" s="166">
        <v>9</v>
      </c>
      <c r="B24" s="167" t="s">
        <v>632</v>
      </c>
      <c r="C24" s="183" t="s">
        <v>633</v>
      </c>
      <c r="D24" s="168" t="s">
        <v>315</v>
      </c>
      <c r="E24" s="169">
        <v>2</v>
      </c>
      <c r="F24" s="170">
        <v>0</v>
      </c>
      <c r="G24" s="171">
        <f>ROUND(E24*F24,2)</f>
        <v>0</v>
      </c>
      <c r="H24" s="170">
        <v>3169.38</v>
      </c>
      <c r="I24" s="171">
        <f>ROUND(E24*H24,2)</f>
        <v>6338.76</v>
      </c>
      <c r="J24" s="170">
        <v>480.62</v>
      </c>
      <c r="K24" s="171">
        <f>ROUND(E24*J24,2)</f>
        <v>961.24</v>
      </c>
      <c r="L24" s="171">
        <v>21</v>
      </c>
      <c r="M24" s="171">
        <f>G24*(1+L24/100)</f>
        <v>0</v>
      </c>
      <c r="N24" s="171">
        <v>3.7819999999999999E-2</v>
      </c>
      <c r="O24" s="171">
        <f>ROUND(E24*N24,2)</f>
        <v>0.08</v>
      </c>
      <c r="P24" s="171">
        <v>0</v>
      </c>
      <c r="Q24" s="171">
        <f>ROUND(E24*P24,2)</f>
        <v>0</v>
      </c>
      <c r="R24" s="171" t="s">
        <v>588</v>
      </c>
      <c r="S24" s="172" t="s">
        <v>147</v>
      </c>
      <c r="T24" s="156">
        <v>0</v>
      </c>
      <c r="U24" s="156">
        <f>ROUND(E24*T24,2)</f>
        <v>0</v>
      </c>
      <c r="V24" s="156"/>
      <c r="W24" s="156" t="s">
        <v>163</v>
      </c>
      <c r="X24" s="147"/>
      <c r="Y24" s="147"/>
      <c r="Z24" s="147"/>
      <c r="AA24" s="147"/>
      <c r="AB24" s="147"/>
      <c r="AC24" s="147"/>
      <c r="AD24" s="147"/>
      <c r="AE24" s="147"/>
      <c r="AF24" s="147" t="s">
        <v>164</v>
      </c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20.399999999999999" outlineLevel="1" x14ac:dyDescent="0.25">
      <c r="A25" s="154"/>
      <c r="B25" s="155"/>
      <c r="C25" s="255" t="s">
        <v>634</v>
      </c>
      <c r="D25" s="255"/>
      <c r="E25" s="255"/>
      <c r="F25" s="255"/>
      <c r="G25" s="25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47"/>
      <c r="Y25" s="147"/>
      <c r="Z25" s="147"/>
      <c r="AA25" s="147"/>
      <c r="AB25" s="147"/>
      <c r="AC25" s="147"/>
      <c r="AD25" s="147"/>
      <c r="AE25" s="147"/>
      <c r="AF25" s="147" t="s">
        <v>166</v>
      </c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73" t="str">
        <f>C25</f>
        <v>Plastové dno, šachta z korugované trouby, těsnění, šachtová roura teleskopická, poklop litinový, čtvercový rám do teleskopické trouby.</v>
      </c>
      <c r="BA25" s="147"/>
      <c r="BB25" s="147"/>
      <c r="BC25" s="147"/>
      <c r="BD25" s="147"/>
      <c r="BE25" s="147"/>
      <c r="BF25" s="147"/>
      <c r="BG25" s="147"/>
    </row>
    <row r="26" spans="1:59" outlineLevel="1" x14ac:dyDescent="0.25">
      <c r="A26" s="154"/>
      <c r="B26" s="155"/>
      <c r="C26" s="184" t="s">
        <v>635</v>
      </c>
      <c r="D26" s="157"/>
      <c r="E26" s="158">
        <v>2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47"/>
      <c r="Y26" s="147"/>
      <c r="Z26" s="147"/>
      <c r="AA26" s="147"/>
      <c r="AB26" s="147"/>
      <c r="AC26" s="147"/>
      <c r="AD26" s="147"/>
      <c r="AE26" s="147"/>
      <c r="AF26" s="147" t="s">
        <v>153</v>
      </c>
      <c r="AG26" s="147">
        <v>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ht="20.399999999999999" outlineLevel="1" x14ac:dyDescent="0.25">
      <c r="A27" s="166">
        <v>10</v>
      </c>
      <c r="B27" s="167" t="s">
        <v>636</v>
      </c>
      <c r="C27" s="183" t="s">
        <v>637</v>
      </c>
      <c r="D27" s="168" t="s">
        <v>315</v>
      </c>
      <c r="E27" s="169">
        <v>1</v>
      </c>
      <c r="F27" s="170">
        <v>0</v>
      </c>
      <c r="G27" s="171">
        <f>ROUND(E27*F27,2)</f>
        <v>0</v>
      </c>
      <c r="H27" s="170">
        <v>3209.38</v>
      </c>
      <c r="I27" s="171">
        <f>ROUND(E27*H27,2)</f>
        <v>3209.38</v>
      </c>
      <c r="J27" s="170">
        <v>480.62</v>
      </c>
      <c r="K27" s="171">
        <f>ROUND(E27*J27,2)</f>
        <v>480.62</v>
      </c>
      <c r="L27" s="171">
        <v>21</v>
      </c>
      <c r="M27" s="171">
        <f>G27*(1+L27/100)</f>
        <v>0</v>
      </c>
      <c r="N27" s="171">
        <v>3.7920000000000002E-2</v>
      </c>
      <c r="O27" s="171">
        <f>ROUND(E27*N27,2)</f>
        <v>0.04</v>
      </c>
      <c r="P27" s="171">
        <v>0</v>
      </c>
      <c r="Q27" s="171">
        <f>ROUND(E27*P27,2)</f>
        <v>0</v>
      </c>
      <c r="R27" s="171" t="s">
        <v>588</v>
      </c>
      <c r="S27" s="172" t="s">
        <v>147</v>
      </c>
      <c r="T27" s="156">
        <v>0</v>
      </c>
      <c r="U27" s="156">
        <f>ROUND(E27*T27,2)</f>
        <v>0</v>
      </c>
      <c r="V27" s="156"/>
      <c r="W27" s="156" t="s">
        <v>163</v>
      </c>
      <c r="X27" s="147"/>
      <c r="Y27" s="147"/>
      <c r="Z27" s="147"/>
      <c r="AA27" s="147"/>
      <c r="AB27" s="147"/>
      <c r="AC27" s="147"/>
      <c r="AD27" s="147"/>
      <c r="AE27" s="147"/>
      <c r="AF27" s="147" t="s">
        <v>164</v>
      </c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</row>
    <row r="28" spans="1:59" ht="20.399999999999999" outlineLevel="1" x14ac:dyDescent="0.25">
      <c r="A28" s="154"/>
      <c r="B28" s="155"/>
      <c r="C28" s="255" t="s">
        <v>634</v>
      </c>
      <c r="D28" s="255"/>
      <c r="E28" s="255"/>
      <c r="F28" s="255"/>
      <c r="G28" s="255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47"/>
      <c r="Y28" s="147"/>
      <c r="Z28" s="147"/>
      <c r="AA28" s="147"/>
      <c r="AB28" s="147"/>
      <c r="AC28" s="147"/>
      <c r="AD28" s="147"/>
      <c r="AE28" s="147"/>
      <c r="AF28" s="147" t="s">
        <v>166</v>
      </c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73" t="str">
        <f>C28</f>
        <v>Plastové dno, šachta z korugované trouby, těsnění, šachtová roura teleskopická, poklop litinový, čtvercový rám do teleskopické trouby.</v>
      </c>
      <c r="BA28" s="147"/>
      <c r="BB28" s="147"/>
      <c r="BC28" s="147"/>
      <c r="BD28" s="147"/>
      <c r="BE28" s="147"/>
      <c r="BF28" s="147"/>
      <c r="BG28" s="147"/>
    </row>
    <row r="29" spans="1:59" ht="20.399999999999999" outlineLevel="1" x14ac:dyDescent="0.25">
      <c r="A29" s="166">
        <v>11</v>
      </c>
      <c r="B29" s="167" t="s">
        <v>638</v>
      </c>
      <c r="C29" s="183" t="s">
        <v>639</v>
      </c>
      <c r="D29" s="168" t="s">
        <v>315</v>
      </c>
      <c r="E29" s="169">
        <v>1</v>
      </c>
      <c r="F29" s="170">
        <v>0</v>
      </c>
      <c r="G29" s="171">
        <f>ROUND(E29*F29,2)</f>
        <v>0</v>
      </c>
      <c r="H29" s="170">
        <v>8382.3799999999992</v>
      </c>
      <c r="I29" s="171">
        <f>ROUND(E29*H29,2)</f>
        <v>8382.3799999999992</v>
      </c>
      <c r="J29" s="170">
        <v>532.62</v>
      </c>
      <c r="K29" s="171">
        <f>ROUND(E29*J29,2)</f>
        <v>532.62</v>
      </c>
      <c r="L29" s="171">
        <v>21</v>
      </c>
      <c r="M29" s="171">
        <f>G29*(1+L29/100)</f>
        <v>0</v>
      </c>
      <c r="N29" s="171">
        <v>6.0130000000000003E-2</v>
      </c>
      <c r="O29" s="171">
        <f>ROUND(E29*N29,2)</f>
        <v>0.06</v>
      </c>
      <c r="P29" s="171">
        <v>0</v>
      </c>
      <c r="Q29" s="171">
        <f>ROUND(E29*P29,2)</f>
        <v>0</v>
      </c>
      <c r="R29" s="171" t="s">
        <v>588</v>
      </c>
      <c r="S29" s="172" t="s">
        <v>147</v>
      </c>
      <c r="T29" s="156">
        <v>0</v>
      </c>
      <c r="U29" s="156">
        <f>ROUND(E29*T29,2)</f>
        <v>0</v>
      </c>
      <c r="V29" s="156"/>
      <c r="W29" s="156" t="s">
        <v>163</v>
      </c>
      <c r="X29" s="147"/>
      <c r="Y29" s="147"/>
      <c r="Z29" s="147"/>
      <c r="AA29" s="147"/>
      <c r="AB29" s="147"/>
      <c r="AC29" s="147"/>
      <c r="AD29" s="147"/>
      <c r="AE29" s="147"/>
      <c r="AF29" s="147" t="s">
        <v>164</v>
      </c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20.399999999999999" outlineLevel="1" x14ac:dyDescent="0.25">
      <c r="A30" s="154"/>
      <c r="B30" s="155"/>
      <c r="C30" s="255" t="s">
        <v>640</v>
      </c>
      <c r="D30" s="255"/>
      <c r="E30" s="255"/>
      <c r="F30" s="255"/>
      <c r="G30" s="25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47"/>
      <c r="Y30" s="147"/>
      <c r="Z30" s="147"/>
      <c r="AA30" s="147"/>
      <c r="AB30" s="147"/>
      <c r="AC30" s="147"/>
      <c r="AD30" s="147"/>
      <c r="AE30" s="147"/>
      <c r="AF30" s="147" t="s">
        <v>166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73" t="str">
        <f>C30</f>
        <v>Plastové dno, šachta z korugované trouby, těsnění, šachtová roura teleskopická, rám do teleskopické trouby, poklop litinový.</v>
      </c>
      <c r="BA30" s="147"/>
      <c r="BB30" s="147"/>
      <c r="BC30" s="147"/>
      <c r="BD30" s="147"/>
      <c r="BE30" s="147"/>
      <c r="BF30" s="147"/>
      <c r="BG30" s="147"/>
    </row>
    <row r="31" spans="1:59" outlineLevel="1" x14ac:dyDescent="0.25">
      <c r="A31" s="166">
        <v>12</v>
      </c>
      <c r="B31" s="167" t="s">
        <v>641</v>
      </c>
      <c r="C31" s="183" t="s">
        <v>841</v>
      </c>
      <c r="D31" s="168" t="s">
        <v>335</v>
      </c>
      <c r="E31" s="169">
        <v>13.5</v>
      </c>
      <c r="F31" s="170">
        <v>0</v>
      </c>
      <c r="G31" s="171">
        <f>ROUND(E31*F31,2)</f>
        <v>0</v>
      </c>
      <c r="H31" s="170">
        <v>0</v>
      </c>
      <c r="I31" s="171">
        <f>ROUND(E31*H31,2)</f>
        <v>0</v>
      </c>
      <c r="J31" s="170">
        <v>1309</v>
      </c>
      <c r="K31" s="171">
        <f>ROUND(E31*J31,2)</f>
        <v>17671.5</v>
      </c>
      <c r="L31" s="171">
        <v>21</v>
      </c>
      <c r="M31" s="171">
        <f>G31*(1+L31/100)</f>
        <v>0</v>
      </c>
      <c r="N31" s="171">
        <v>0.46866000000000002</v>
      </c>
      <c r="O31" s="171">
        <f>ROUND(E31*N31,2)</f>
        <v>6.33</v>
      </c>
      <c r="P31" s="171">
        <v>0</v>
      </c>
      <c r="Q31" s="171">
        <f>ROUND(E31*P31,2)</f>
        <v>0</v>
      </c>
      <c r="R31" s="171"/>
      <c r="S31" s="172" t="s">
        <v>147</v>
      </c>
      <c r="T31" s="156">
        <v>0</v>
      </c>
      <c r="U31" s="156">
        <f>ROUND(E31*T31,2)</f>
        <v>0</v>
      </c>
      <c r="V31" s="156"/>
      <c r="W31" s="156" t="s">
        <v>163</v>
      </c>
      <c r="X31" s="147"/>
      <c r="Y31" s="147"/>
      <c r="Z31" s="147"/>
      <c r="AA31" s="147"/>
      <c r="AB31" s="147"/>
      <c r="AC31" s="147"/>
      <c r="AD31" s="147"/>
      <c r="AE31" s="147"/>
      <c r="AF31" s="147" t="s">
        <v>164</v>
      </c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outlineLevel="1" x14ac:dyDescent="0.25">
      <c r="A32" s="154"/>
      <c r="B32" s="155"/>
      <c r="C32" s="184" t="s">
        <v>642</v>
      </c>
      <c r="D32" s="157"/>
      <c r="E32" s="158">
        <v>13.5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47"/>
      <c r="Y32" s="147"/>
      <c r="Z32" s="147"/>
      <c r="AA32" s="147"/>
      <c r="AB32" s="147"/>
      <c r="AC32" s="147"/>
      <c r="AD32" s="147"/>
      <c r="AE32" s="147"/>
      <c r="AF32" s="147" t="s">
        <v>153</v>
      </c>
      <c r="AG32" s="147">
        <v>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outlineLevel="1" x14ac:dyDescent="0.25">
      <c r="A33" s="166">
        <v>13</v>
      </c>
      <c r="B33" s="167" t="s">
        <v>643</v>
      </c>
      <c r="C33" s="183" t="s">
        <v>644</v>
      </c>
      <c r="D33" s="168" t="s">
        <v>645</v>
      </c>
      <c r="E33" s="169">
        <v>1</v>
      </c>
      <c r="F33" s="170">
        <v>0</v>
      </c>
      <c r="G33" s="171">
        <f>ROUND(E33*F33,2)</f>
        <v>0</v>
      </c>
      <c r="H33" s="170">
        <v>0</v>
      </c>
      <c r="I33" s="171">
        <f>ROUND(E33*H33,2)</f>
        <v>0</v>
      </c>
      <c r="J33" s="170">
        <v>79000</v>
      </c>
      <c r="K33" s="171">
        <f>ROUND(E33*J33,2)</f>
        <v>79000</v>
      </c>
      <c r="L33" s="171">
        <v>21</v>
      </c>
      <c r="M33" s="171">
        <f>G33*(1+L33/100)</f>
        <v>0</v>
      </c>
      <c r="N33" s="171">
        <v>1.35765</v>
      </c>
      <c r="O33" s="171">
        <f>ROUND(E33*N33,2)</f>
        <v>1.36</v>
      </c>
      <c r="P33" s="171">
        <v>0</v>
      </c>
      <c r="Q33" s="171">
        <f>ROUND(E33*P33,2)</f>
        <v>0</v>
      </c>
      <c r="R33" s="171"/>
      <c r="S33" s="172" t="s">
        <v>175</v>
      </c>
      <c r="T33" s="156">
        <v>0</v>
      </c>
      <c r="U33" s="156">
        <f>ROUND(E33*T33,2)</f>
        <v>0</v>
      </c>
      <c r="V33" s="156"/>
      <c r="W33" s="156" t="s">
        <v>163</v>
      </c>
      <c r="X33" s="147"/>
      <c r="Y33" s="147"/>
      <c r="Z33" s="147"/>
      <c r="AA33" s="147"/>
      <c r="AB33" s="147"/>
      <c r="AC33" s="147"/>
      <c r="AD33" s="147"/>
      <c r="AE33" s="147"/>
      <c r="AF33" s="147" t="s">
        <v>164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outlineLevel="1" x14ac:dyDescent="0.25">
      <c r="A34" s="154"/>
      <c r="B34" s="155"/>
      <c r="C34" s="255" t="s">
        <v>646</v>
      </c>
      <c r="D34" s="255"/>
      <c r="E34" s="255"/>
      <c r="F34" s="255"/>
      <c r="G34" s="25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47"/>
      <c r="Y34" s="147"/>
      <c r="Z34" s="147"/>
      <c r="AA34" s="147"/>
      <c r="AB34" s="147"/>
      <c r="AC34" s="147"/>
      <c r="AD34" s="147"/>
      <c r="AE34" s="147"/>
      <c r="AF34" s="147" t="s">
        <v>166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x14ac:dyDescent="0.25">
      <c r="A35" s="160" t="s">
        <v>141</v>
      </c>
      <c r="B35" s="161" t="s">
        <v>93</v>
      </c>
      <c r="C35" s="182" t="s">
        <v>94</v>
      </c>
      <c r="D35" s="162"/>
      <c r="E35" s="163"/>
      <c r="F35" s="164"/>
      <c r="G35" s="164">
        <f>SUMIF(AF36:AF37,"&lt;&gt;NOR",G36:G37)</f>
        <v>0</v>
      </c>
      <c r="H35" s="164"/>
      <c r="I35" s="164">
        <f>SUM(I36:I37)</f>
        <v>0</v>
      </c>
      <c r="J35" s="164"/>
      <c r="K35" s="164">
        <f>SUM(K36:K37)</f>
        <v>15900</v>
      </c>
      <c r="L35" s="164"/>
      <c r="M35" s="164">
        <f>SUM(M36:M37)</f>
        <v>0</v>
      </c>
      <c r="N35" s="164"/>
      <c r="O35" s="164">
        <f>SUM(O36:O37)</f>
        <v>0</v>
      </c>
      <c r="P35" s="164"/>
      <c r="Q35" s="164">
        <f>SUM(Q36:Q37)</f>
        <v>0</v>
      </c>
      <c r="R35" s="164"/>
      <c r="S35" s="165"/>
      <c r="T35" s="159"/>
      <c r="U35" s="159">
        <f>SUM(U36:U37)</f>
        <v>0</v>
      </c>
      <c r="V35" s="159"/>
      <c r="W35" s="159"/>
      <c r="AF35" t="s">
        <v>142</v>
      </c>
    </row>
    <row r="36" spans="1:59" outlineLevel="1" x14ac:dyDescent="0.25">
      <c r="A36" s="166">
        <v>14</v>
      </c>
      <c r="B36" s="167" t="s">
        <v>647</v>
      </c>
      <c r="C36" s="183" t="s">
        <v>648</v>
      </c>
      <c r="D36" s="168" t="s">
        <v>645</v>
      </c>
      <c r="E36" s="169">
        <v>1</v>
      </c>
      <c r="F36" s="170">
        <v>0</v>
      </c>
      <c r="G36" s="171">
        <f>ROUND(E36*F36,2)</f>
        <v>0</v>
      </c>
      <c r="H36" s="170">
        <v>0</v>
      </c>
      <c r="I36" s="171">
        <f>ROUND(E36*H36,2)</f>
        <v>0</v>
      </c>
      <c r="J36" s="170">
        <v>15900</v>
      </c>
      <c r="K36" s="171">
        <f>ROUND(E36*J36,2)</f>
        <v>15900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/>
      <c r="S36" s="172" t="s">
        <v>175</v>
      </c>
      <c r="T36" s="156">
        <v>0</v>
      </c>
      <c r="U36" s="156">
        <f>ROUND(E36*T36,2)</f>
        <v>0</v>
      </c>
      <c r="V36" s="156"/>
      <c r="W36" s="156" t="s">
        <v>148</v>
      </c>
      <c r="X36" s="147"/>
      <c r="Y36" s="147"/>
      <c r="Z36" s="147"/>
      <c r="AA36" s="147"/>
      <c r="AB36" s="147"/>
      <c r="AC36" s="147"/>
      <c r="AD36" s="147"/>
      <c r="AE36" s="147"/>
      <c r="AF36" s="147" t="s">
        <v>149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71.400000000000006" outlineLevel="1" x14ac:dyDescent="0.25">
      <c r="A37" s="154"/>
      <c r="B37" s="155"/>
      <c r="C37" s="255" t="s">
        <v>649</v>
      </c>
      <c r="D37" s="255"/>
      <c r="E37" s="255"/>
      <c r="F37" s="255"/>
      <c r="G37" s="255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47"/>
      <c r="Y37" s="147"/>
      <c r="Z37" s="147"/>
      <c r="AA37" s="147"/>
      <c r="AB37" s="147"/>
      <c r="AC37" s="147"/>
      <c r="AD37" s="147"/>
      <c r="AE37" s="147"/>
      <c r="AF37" s="147" t="s">
        <v>166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73" t="str">
        <f>C37</f>
        <v>Demontáž a zpětná montáž svislého zákrytu 4 m2 + demontáž a zpětná montáž umyvadla s baterií a syfonem včetně dodávky nového syfonu + napojení nové vodoinstalace na stávající rozvod + nová vodoinstalace DN 25 délky 6 m vč izolace a armatur + dodávka a montáž chráničky dl. 2,0 m + sekání prostupu přes základ + sekání a následná oprava podlahy vč. hydroizolace 1 m2 + demontáž a spětná montáž stávajícího radiátoru vč. vypuštění a napuštění otopné soustavy. Doplnění obkladů a dlažeb + zapravení omítek + výmalba. Likvidace odpadu a úklid.</v>
      </c>
      <c r="BA37" s="147"/>
      <c r="BB37" s="147"/>
      <c r="BC37" s="147"/>
      <c r="BD37" s="147"/>
      <c r="BE37" s="147"/>
      <c r="BF37" s="147"/>
      <c r="BG37" s="147"/>
    </row>
    <row r="38" spans="1:59" x14ac:dyDescent="0.25">
      <c r="A38" s="160" t="s">
        <v>141</v>
      </c>
      <c r="B38" s="161" t="s">
        <v>107</v>
      </c>
      <c r="C38" s="182" t="s">
        <v>108</v>
      </c>
      <c r="D38" s="162"/>
      <c r="E38" s="163"/>
      <c r="F38" s="164"/>
      <c r="G38" s="164">
        <f>SUMIF(AF39:AF40,"&lt;&gt;NOR",G39:G40)</f>
        <v>0</v>
      </c>
      <c r="H38" s="164"/>
      <c r="I38" s="164">
        <f>SUM(I39:I40)</f>
        <v>0</v>
      </c>
      <c r="J38" s="164"/>
      <c r="K38" s="164">
        <f>SUM(K39:K40)</f>
        <v>8500</v>
      </c>
      <c r="L38" s="164"/>
      <c r="M38" s="164">
        <f>SUM(M39:M40)</f>
        <v>0</v>
      </c>
      <c r="N38" s="164"/>
      <c r="O38" s="164">
        <f>SUM(O39:O40)</f>
        <v>0</v>
      </c>
      <c r="P38" s="164"/>
      <c r="Q38" s="164">
        <f>SUM(Q39:Q40)</f>
        <v>0</v>
      </c>
      <c r="R38" s="164"/>
      <c r="S38" s="165"/>
      <c r="T38" s="159"/>
      <c r="U38" s="159">
        <f>SUM(U39:U40)</f>
        <v>0</v>
      </c>
      <c r="V38" s="159"/>
      <c r="W38" s="159"/>
      <c r="AF38" t="s">
        <v>142</v>
      </c>
    </row>
    <row r="39" spans="1:59" outlineLevel="1" x14ac:dyDescent="0.25">
      <c r="A39" s="166">
        <v>15</v>
      </c>
      <c r="B39" s="167" t="s">
        <v>650</v>
      </c>
      <c r="C39" s="183" t="s">
        <v>651</v>
      </c>
      <c r="D39" s="168" t="s">
        <v>561</v>
      </c>
      <c r="E39" s="169">
        <v>1</v>
      </c>
      <c r="F39" s="170">
        <v>0</v>
      </c>
      <c r="G39" s="171">
        <f>ROUND(E39*F39,2)</f>
        <v>0</v>
      </c>
      <c r="H39" s="170">
        <v>0</v>
      </c>
      <c r="I39" s="171">
        <f>ROUND(E39*H39,2)</f>
        <v>0</v>
      </c>
      <c r="J39" s="170">
        <v>8500</v>
      </c>
      <c r="K39" s="171">
        <f>ROUND(E39*J39,2)</f>
        <v>8500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2" t="s">
        <v>175</v>
      </c>
      <c r="T39" s="156">
        <v>0</v>
      </c>
      <c r="U39" s="156">
        <f>ROUND(E39*T39,2)</f>
        <v>0</v>
      </c>
      <c r="V39" s="156"/>
      <c r="W39" s="156" t="s">
        <v>163</v>
      </c>
      <c r="X39" s="147"/>
      <c r="Y39" s="147"/>
      <c r="Z39" s="147"/>
      <c r="AA39" s="147"/>
      <c r="AB39" s="147"/>
      <c r="AC39" s="147"/>
      <c r="AD39" s="147"/>
      <c r="AE39" s="147"/>
      <c r="AF39" s="147" t="s">
        <v>164</v>
      </c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outlineLevel="1" x14ac:dyDescent="0.25">
      <c r="A40" s="154"/>
      <c r="B40" s="155"/>
      <c r="C40" s="317" t="s">
        <v>652</v>
      </c>
      <c r="D40" s="318"/>
      <c r="E40" s="318"/>
      <c r="F40" s="318"/>
      <c r="G40" s="318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47"/>
      <c r="Y40" s="147"/>
      <c r="Z40" s="147"/>
      <c r="AA40" s="147"/>
      <c r="AB40" s="147"/>
      <c r="AC40" s="147"/>
      <c r="AD40" s="147"/>
      <c r="AE40" s="147"/>
      <c r="AF40" s="147" t="s">
        <v>166</v>
      </c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73" t="str">
        <f>C40</f>
        <v>Čerpadlo ponorné, kalové se spodním sáním, plovákovým spínačem a integrovanou řídící tlakovou jednotkoou, 230 V, výtlak 42 m.</v>
      </c>
      <c r="BA40" s="147"/>
      <c r="BB40" s="147"/>
      <c r="BC40" s="147"/>
      <c r="BD40" s="147"/>
      <c r="BE40" s="147"/>
      <c r="BF40" s="147"/>
      <c r="BG40" s="147"/>
    </row>
    <row r="41" spans="1:59" x14ac:dyDescent="0.25">
      <c r="A41" s="3"/>
      <c r="B41" s="4"/>
      <c r="C41" s="18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D41">
        <v>15</v>
      </c>
      <c r="AE41">
        <v>21</v>
      </c>
      <c r="AF41" t="s">
        <v>129</v>
      </c>
    </row>
    <row r="42" spans="1:59" x14ac:dyDescent="0.25">
      <c r="A42" s="150"/>
      <c r="B42" s="151" t="s">
        <v>29</v>
      </c>
      <c r="C42" s="187"/>
      <c r="D42" s="152"/>
      <c r="E42" s="153"/>
      <c r="F42" s="153"/>
      <c r="G42" s="181">
        <f>G8+G35+G38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AD42">
        <f>SUMIF(L7:L40,AD41,G7:G40)</f>
        <v>0</v>
      </c>
      <c r="AE42">
        <f>SUMIF(L7:L40,AE41,G7:G40)</f>
        <v>0</v>
      </c>
      <c r="AF42" t="s">
        <v>204</v>
      </c>
    </row>
    <row r="43" spans="1:59" x14ac:dyDescent="0.25">
      <c r="C43" s="188"/>
      <c r="D43" s="10"/>
      <c r="AF43" t="s">
        <v>206</v>
      </c>
    </row>
    <row r="44" spans="1:59" x14ac:dyDescent="0.25">
      <c r="D44" s="10"/>
    </row>
    <row r="45" spans="1:59" x14ac:dyDescent="0.25">
      <c r="D45" s="10"/>
    </row>
    <row r="46" spans="1:59" x14ac:dyDescent="0.25">
      <c r="D46" s="10"/>
    </row>
    <row r="47" spans="1:59" x14ac:dyDescent="0.25">
      <c r="D47" s="10"/>
    </row>
    <row r="48" spans="1:59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risWJEhwU7IonM9pJubJBipyLoqLlzTAqcp96VVb1PI6uNP6TYrHQfrB0P41Dbf5Rtr7isQo0DXdIArDfZWgA==" saltValue="0yfjIsa8ejvkq0yEw99aYA==" spinCount="100000" sheet="1" objects="1" scenarios="1"/>
  <protectedRanges>
    <protectedRange sqref="F9:F39" name="Oblast1"/>
  </protectedRanges>
  <mergeCells count="5">
    <mergeCell ref="A1:G1"/>
    <mergeCell ref="C2:G2"/>
    <mergeCell ref="C3:G3"/>
    <mergeCell ref="C4:G4"/>
    <mergeCell ref="C40:G4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F9" sqref="F9"/>
    </sheetView>
  </sheetViews>
  <sheetFormatPr defaultColWidth="8.77734375" defaultRowHeight="13.2" outlineLevelRow="1" x14ac:dyDescent="0.25"/>
  <cols>
    <col min="1" max="1" width="3.44140625" customWidth="1"/>
    <col min="2" max="2" width="12.6640625" style="121" customWidth="1"/>
    <col min="3" max="3" width="63.33203125" style="121" customWidth="1"/>
    <col min="4" max="4" width="4.77734375" customWidth="1"/>
    <col min="5" max="5" width="10.66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19" max="19" width="8.44140625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3">
      <c r="A1" s="310" t="s">
        <v>116</v>
      </c>
      <c r="B1" s="310"/>
      <c r="C1" s="310"/>
      <c r="D1" s="310"/>
      <c r="E1" s="310"/>
      <c r="F1" s="310"/>
      <c r="G1" s="310"/>
      <c r="AF1" t="s">
        <v>117</v>
      </c>
    </row>
    <row r="2" spans="1:59" ht="25.2" customHeight="1" x14ac:dyDescent="0.25">
      <c r="A2" s="139" t="s">
        <v>7</v>
      </c>
      <c r="B2" s="49" t="s">
        <v>43</v>
      </c>
      <c r="C2" s="311" t="s">
        <v>44</v>
      </c>
      <c r="D2" s="312"/>
      <c r="E2" s="312"/>
      <c r="F2" s="312"/>
      <c r="G2" s="313"/>
      <c r="AF2" t="s">
        <v>118</v>
      </c>
    </row>
    <row r="3" spans="1:59" ht="25.2" customHeight="1" x14ac:dyDescent="0.25">
      <c r="A3" s="139" t="s">
        <v>8</v>
      </c>
      <c r="B3" s="49" t="s">
        <v>58</v>
      </c>
      <c r="C3" s="311"/>
      <c r="D3" s="312"/>
      <c r="E3" s="312"/>
      <c r="F3" s="312"/>
      <c r="G3" s="313"/>
      <c r="AB3" s="121" t="s">
        <v>118</v>
      </c>
      <c r="AF3" t="s">
        <v>119</v>
      </c>
    </row>
    <row r="4" spans="1:59" ht="25.2" customHeight="1" x14ac:dyDescent="0.25">
      <c r="A4" s="140" t="s">
        <v>9</v>
      </c>
      <c r="B4" s="141" t="s">
        <v>69</v>
      </c>
      <c r="C4" s="314" t="s">
        <v>70</v>
      </c>
      <c r="D4" s="315"/>
      <c r="E4" s="315"/>
      <c r="F4" s="315"/>
      <c r="G4" s="316"/>
      <c r="AF4" t="s">
        <v>120</v>
      </c>
    </row>
    <row r="5" spans="1:59" x14ac:dyDescent="0.25">
      <c r="D5" s="10"/>
    </row>
    <row r="6" spans="1:59" ht="39.6" x14ac:dyDescent="0.25">
      <c r="A6" s="143" t="s">
        <v>121</v>
      </c>
      <c r="B6" s="145" t="s">
        <v>122</v>
      </c>
      <c r="C6" s="145" t="s">
        <v>123</v>
      </c>
      <c r="D6" s="144" t="s">
        <v>124</v>
      </c>
      <c r="E6" s="143" t="s">
        <v>125</v>
      </c>
      <c r="F6" s="142" t="s">
        <v>126</v>
      </c>
      <c r="G6" s="143" t="s">
        <v>29</v>
      </c>
      <c r="H6" s="146" t="s">
        <v>30</v>
      </c>
      <c r="I6" s="146" t="s">
        <v>127</v>
      </c>
      <c r="J6" s="146" t="s">
        <v>31</v>
      </c>
      <c r="K6" s="146" t="s">
        <v>128</v>
      </c>
      <c r="L6" s="146" t="s">
        <v>129</v>
      </c>
      <c r="M6" s="146" t="s">
        <v>130</v>
      </c>
      <c r="N6" s="146" t="s">
        <v>131</v>
      </c>
      <c r="O6" s="146" t="s">
        <v>132</v>
      </c>
      <c r="P6" s="146" t="s">
        <v>133</v>
      </c>
      <c r="Q6" s="146" t="s">
        <v>134</v>
      </c>
      <c r="R6" s="146" t="s">
        <v>135</v>
      </c>
      <c r="S6" s="146" t="s">
        <v>136</v>
      </c>
      <c r="T6" s="146" t="s">
        <v>137</v>
      </c>
      <c r="U6" s="146" t="s">
        <v>138</v>
      </c>
      <c r="V6" s="146" t="s">
        <v>139</v>
      </c>
      <c r="W6" s="146" t="s">
        <v>140</v>
      </c>
    </row>
    <row r="7" spans="1:59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59" x14ac:dyDescent="0.25">
      <c r="A8" s="160" t="s">
        <v>141</v>
      </c>
      <c r="B8" s="161" t="s">
        <v>105</v>
      </c>
      <c r="C8" s="182" t="s">
        <v>106</v>
      </c>
      <c r="D8" s="162"/>
      <c r="E8" s="163"/>
      <c r="F8" s="164"/>
      <c r="G8" s="164">
        <f>SUMIF(AF9:AF9,"&lt;&gt;NOR",G9:G9)</f>
        <v>0</v>
      </c>
      <c r="H8" s="164"/>
      <c r="I8" s="164">
        <f>SUM(I9:I9)</f>
        <v>0</v>
      </c>
      <c r="J8" s="164"/>
      <c r="K8" s="164">
        <f>SUM(K9:K9)</f>
        <v>25664.03</v>
      </c>
      <c r="L8" s="164"/>
      <c r="M8" s="164">
        <f>SUM(M9:M9)</f>
        <v>0</v>
      </c>
      <c r="N8" s="164"/>
      <c r="O8" s="164">
        <f>SUM(O9:O9)</f>
        <v>0</v>
      </c>
      <c r="P8" s="164"/>
      <c r="Q8" s="164">
        <f>SUM(Q9:Q9)</f>
        <v>0</v>
      </c>
      <c r="R8" s="164"/>
      <c r="S8" s="165"/>
      <c r="T8" s="159"/>
      <c r="U8" s="159">
        <f>SUM(U9:U9)</f>
        <v>0</v>
      </c>
      <c r="V8" s="159"/>
      <c r="W8" s="159"/>
      <c r="AF8" t="s">
        <v>142</v>
      </c>
    </row>
    <row r="9" spans="1:59" outlineLevel="1" x14ac:dyDescent="0.25">
      <c r="A9" s="166">
        <v>1</v>
      </c>
      <c r="B9" s="167" t="s">
        <v>653</v>
      </c>
      <c r="C9" s="183" t="s">
        <v>654</v>
      </c>
      <c r="D9" s="168" t="s">
        <v>645</v>
      </c>
      <c r="E9" s="169">
        <v>1</v>
      </c>
      <c r="F9" s="170">
        <f>SUM('Krycí list rozpočtu'!I28)</f>
        <v>0</v>
      </c>
      <c r="G9" s="171">
        <f>ROUND(E9*F9,2)</f>
        <v>0</v>
      </c>
      <c r="H9" s="170">
        <v>0</v>
      </c>
      <c r="I9" s="171">
        <f>ROUND(E9*H9,2)</f>
        <v>0</v>
      </c>
      <c r="J9" s="170">
        <v>25664.03</v>
      </c>
      <c r="K9" s="171">
        <f>ROUND(E9*J9,2)</f>
        <v>25664.03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2" t="s">
        <v>175</v>
      </c>
      <c r="T9" s="156">
        <v>0</v>
      </c>
      <c r="U9" s="156">
        <f>ROUND(E9*T9,2)</f>
        <v>0</v>
      </c>
      <c r="V9" s="156"/>
      <c r="W9" s="156" t="s">
        <v>148</v>
      </c>
      <c r="X9" s="147"/>
      <c r="Y9" s="147"/>
      <c r="Z9" s="147"/>
      <c r="AA9" s="147"/>
      <c r="AB9" s="147"/>
      <c r="AC9" s="147"/>
      <c r="AD9" s="147"/>
      <c r="AE9" s="147"/>
      <c r="AF9" s="147" t="s">
        <v>149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x14ac:dyDescent="0.25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AD10">
        <v>15</v>
      </c>
      <c r="AE10">
        <v>21</v>
      </c>
      <c r="AF10" t="s">
        <v>129</v>
      </c>
    </row>
    <row r="11" spans="1:59" x14ac:dyDescent="0.25">
      <c r="A11" s="150"/>
      <c r="B11" s="151" t="s">
        <v>29</v>
      </c>
      <c r="C11" s="187"/>
      <c r="D11" s="152"/>
      <c r="E11" s="153"/>
      <c r="F11" s="153"/>
      <c r="G11" s="181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AD11">
        <f>SUMIF(L7:L9,AD10,G7:G9)</f>
        <v>0</v>
      </c>
      <c r="AE11">
        <f>SUMIF(L7:L9,AE10,G7:G9)</f>
        <v>0</v>
      </c>
      <c r="AF11" t="s">
        <v>204</v>
      </c>
    </row>
    <row r="12" spans="1:59" x14ac:dyDescent="0.25">
      <c r="C12" s="188"/>
      <c r="D12" s="10"/>
      <c r="AF12" t="s">
        <v>206</v>
      </c>
    </row>
    <row r="13" spans="1:59" x14ac:dyDescent="0.25">
      <c r="D13" s="10"/>
    </row>
    <row r="14" spans="1:59" x14ac:dyDescent="0.25">
      <c r="D14" s="10"/>
    </row>
    <row r="15" spans="1:59" x14ac:dyDescent="0.25">
      <c r="D15" s="10"/>
    </row>
    <row r="16" spans="1:59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F8tObtD04ky+d/dxg6nWayWGKtEChpKubsew6T0dRVQjSHeww3KgQFgUPerZAINaC1AyL1xtEEoFbJPio4s/w==" saltValue="+5BHL0h4HPylwJstPR098w==" spinCount="100000" sheet="1" objects="1" scenarios="1"/>
  <protectedRanges>
    <protectedRange sqref="F9" name="Oblast1"/>
  </protectedRanges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7"/>
  <sheetViews>
    <sheetView zoomScale="60" zoomScaleNormal="60" workbookViewId="0">
      <selection activeCell="G23" sqref="G23:H23"/>
    </sheetView>
  </sheetViews>
  <sheetFormatPr defaultColWidth="11.44140625" defaultRowHeight="13.2" x14ac:dyDescent="0.25"/>
  <cols>
    <col min="1" max="1" width="9.109375" style="189" customWidth="1"/>
    <col min="2" max="2" width="12.77734375" style="189" customWidth="1"/>
    <col min="3" max="3" width="22.77734375" style="189" customWidth="1"/>
    <col min="4" max="4" width="10" style="189" customWidth="1"/>
    <col min="5" max="5" width="14" style="189" customWidth="1"/>
    <col min="6" max="6" width="22.77734375" style="189" customWidth="1"/>
    <col min="7" max="7" width="9.109375" style="189" customWidth="1"/>
    <col min="8" max="8" width="12.77734375" style="189" customWidth="1"/>
    <col min="9" max="9" width="22.77734375" style="189" customWidth="1"/>
    <col min="10" max="256" width="11.44140625" style="189"/>
    <col min="257" max="257" width="9.109375" style="189" customWidth="1"/>
    <col min="258" max="258" width="12.77734375" style="189" customWidth="1"/>
    <col min="259" max="259" width="22.77734375" style="189" customWidth="1"/>
    <col min="260" max="260" width="10" style="189" customWidth="1"/>
    <col min="261" max="261" width="14" style="189" customWidth="1"/>
    <col min="262" max="262" width="22.77734375" style="189" customWidth="1"/>
    <col min="263" max="263" width="9.109375" style="189" customWidth="1"/>
    <col min="264" max="264" width="12.77734375" style="189" customWidth="1"/>
    <col min="265" max="265" width="22.77734375" style="189" customWidth="1"/>
    <col min="266" max="512" width="11.44140625" style="189"/>
    <col min="513" max="513" width="9.109375" style="189" customWidth="1"/>
    <col min="514" max="514" width="12.77734375" style="189" customWidth="1"/>
    <col min="515" max="515" width="22.77734375" style="189" customWidth="1"/>
    <col min="516" max="516" width="10" style="189" customWidth="1"/>
    <col min="517" max="517" width="14" style="189" customWidth="1"/>
    <col min="518" max="518" width="22.77734375" style="189" customWidth="1"/>
    <col min="519" max="519" width="9.109375" style="189" customWidth="1"/>
    <col min="520" max="520" width="12.77734375" style="189" customWidth="1"/>
    <col min="521" max="521" width="22.77734375" style="189" customWidth="1"/>
    <col min="522" max="768" width="11.44140625" style="189"/>
    <col min="769" max="769" width="9.109375" style="189" customWidth="1"/>
    <col min="770" max="770" width="12.77734375" style="189" customWidth="1"/>
    <col min="771" max="771" width="22.77734375" style="189" customWidth="1"/>
    <col min="772" max="772" width="10" style="189" customWidth="1"/>
    <col min="773" max="773" width="14" style="189" customWidth="1"/>
    <col min="774" max="774" width="22.77734375" style="189" customWidth="1"/>
    <col min="775" max="775" width="9.109375" style="189" customWidth="1"/>
    <col min="776" max="776" width="12.77734375" style="189" customWidth="1"/>
    <col min="777" max="777" width="22.77734375" style="189" customWidth="1"/>
    <col min="778" max="1024" width="11.44140625" style="189"/>
    <col min="1025" max="1025" width="9.109375" style="189" customWidth="1"/>
    <col min="1026" max="1026" width="12.77734375" style="189" customWidth="1"/>
    <col min="1027" max="1027" width="22.77734375" style="189" customWidth="1"/>
    <col min="1028" max="1028" width="10" style="189" customWidth="1"/>
    <col min="1029" max="1029" width="14" style="189" customWidth="1"/>
    <col min="1030" max="1030" width="22.77734375" style="189" customWidth="1"/>
    <col min="1031" max="1031" width="9.109375" style="189" customWidth="1"/>
    <col min="1032" max="1032" width="12.77734375" style="189" customWidth="1"/>
    <col min="1033" max="1033" width="22.77734375" style="189" customWidth="1"/>
    <col min="1034" max="1280" width="11.44140625" style="189"/>
    <col min="1281" max="1281" width="9.109375" style="189" customWidth="1"/>
    <col min="1282" max="1282" width="12.77734375" style="189" customWidth="1"/>
    <col min="1283" max="1283" width="22.77734375" style="189" customWidth="1"/>
    <col min="1284" max="1284" width="10" style="189" customWidth="1"/>
    <col min="1285" max="1285" width="14" style="189" customWidth="1"/>
    <col min="1286" max="1286" width="22.77734375" style="189" customWidth="1"/>
    <col min="1287" max="1287" width="9.109375" style="189" customWidth="1"/>
    <col min="1288" max="1288" width="12.77734375" style="189" customWidth="1"/>
    <col min="1289" max="1289" width="22.77734375" style="189" customWidth="1"/>
    <col min="1290" max="1536" width="11.44140625" style="189"/>
    <col min="1537" max="1537" width="9.109375" style="189" customWidth="1"/>
    <col min="1538" max="1538" width="12.77734375" style="189" customWidth="1"/>
    <col min="1539" max="1539" width="22.77734375" style="189" customWidth="1"/>
    <col min="1540" max="1540" width="10" style="189" customWidth="1"/>
    <col min="1541" max="1541" width="14" style="189" customWidth="1"/>
    <col min="1542" max="1542" width="22.77734375" style="189" customWidth="1"/>
    <col min="1543" max="1543" width="9.109375" style="189" customWidth="1"/>
    <col min="1544" max="1544" width="12.77734375" style="189" customWidth="1"/>
    <col min="1545" max="1545" width="22.77734375" style="189" customWidth="1"/>
    <col min="1546" max="1792" width="11.44140625" style="189"/>
    <col min="1793" max="1793" width="9.109375" style="189" customWidth="1"/>
    <col min="1794" max="1794" width="12.77734375" style="189" customWidth="1"/>
    <col min="1795" max="1795" width="22.77734375" style="189" customWidth="1"/>
    <col min="1796" max="1796" width="10" style="189" customWidth="1"/>
    <col min="1797" max="1797" width="14" style="189" customWidth="1"/>
    <col min="1798" max="1798" width="22.77734375" style="189" customWidth="1"/>
    <col min="1799" max="1799" width="9.109375" style="189" customWidth="1"/>
    <col min="1800" max="1800" width="12.77734375" style="189" customWidth="1"/>
    <col min="1801" max="1801" width="22.77734375" style="189" customWidth="1"/>
    <col min="1802" max="2048" width="11.44140625" style="189"/>
    <col min="2049" max="2049" width="9.109375" style="189" customWidth="1"/>
    <col min="2050" max="2050" width="12.77734375" style="189" customWidth="1"/>
    <col min="2051" max="2051" width="22.77734375" style="189" customWidth="1"/>
    <col min="2052" max="2052" width="10" style="189" customWidth="1"/>
    <col min="2053" max="2053" width="14" style="189" customWidth="1"/>
    <col min="2054" max="2054" width="22.77734375" style="189" customWidth="1"/>
    <col min="2055" max="2055" width="9.109375" style="189" customWidth="1"/>
    <col min="2056" max="2056" width="12.77734375" style="189" customWidth="1"/>
    <col min="2057" max="2057" width="22.77734375" style="189" customWidth="1"/>
    <col min="2058" max="2304" width="11.44140625" style="189"/>
    <col min="2305" max="2305" width="9.109375" style="189" customWidth="1"/>
    <col min="2306" max="2306" width="12.77734375" style="189" customWidth="1"/>
    <col min="2307" max="2307" width="22.77734375" style="189" customWidth="1"/>
    <col min="2308" max="2308" width="10" style="189" customWidth="1"/>
    <col min="2309" max="2309" width="14" style="189" customWidth="1"/>
    <col min="2310" max="2310" width="22.77734375" style="189" customWidth="1"/>
    <col min="2311" max="2311" width="9.109375" style="189" customWidth="1"/>
    <col min="2312" max="2312" width="12.77734375" style="189" customWidth="1"/>
    <col min="2313" max="2313" width="22.77734375" style="189" customWidth="1"/>
    <col min="2314" max="2560" width="11.44140625" style="189"/>
    <col min="2561" max="2561" width="9.109375" style="189" customWidth="1"/>
    <col min="2562" max="2562" width="12.77734375" style="189" customWidth="1"/>
    <col min="2563" max="2563" width="22.77734375" style="189" customWidth="1"/>
    <col min="2564" max="2564" width="10" style="189" customWidth="1"/>
    <col min="2565" max="2565" width="14" style="189" customWidth="1"/>
    <col min="2566" max="2566" width="22.77734375" style="189" customWidth="1"/>
    <col min="2567" max="2567" width="9.109375" style="189" customWidth="1"/>
    <col min="2568" max="2568" width="12.77734375" style="189" customWidth="1"/>
    <col min="2569" max="2569" width="22.77734375" style="189" customWidth="1"/>
    <col min="2570" max="2816" width="11.44140625" style="189"/>
    <col min="2817" max="2817" width="9.109375" style="189" customWidth="1"/>
    <col min="2818" max="2818" width="12.77734375" style="189" customWidth="1"/>
    <col min="2819" max="2819" width="22.77734375" style="189" customWidth="1"/>
    <col min="2820" max="2820" width="10" style="189" customWidth="1"/>
    <col min="2821" max="2821" width="14" style="189" customWidth="1"/>
    <col min="2822" max="2822" width="22.77734375" style="189" customWidth="1"/>
    <col min="2823" max="2823" width="9.109375" style="189" customWidth="1"/>
    <col min="2824" max="2824" width="12.77734375" style="189" customWidth="1"/>
    <col min="2825" max="2825" width="22.77734375" style="189" customWidth="1"/>
    <col min="2826" max="3072" width="11.44140625" style="189"/>
    <col min="3073" max="3073" width="9.109375" style="189" customWidth="1"/>
    <col min="3074" max="3074" width="12.77734375" style="189" customWidth="1"/>
    <col min="3075" max="3075" width="22.77734375" style="189" customWidth="1"/>
    <col min="3076" max="3076" width="10" style="189" customWidth="1"/>
    <col min="3077" max="3077" width="14" style="189" customWidth="1"/>
    <col min="3078" max="3078" width="22.77734375" style="189" customWidth="1"/>
    <col min="3079" max="3079" width="9.109375" style="189" customWidth="1"/>
    <col min="3080" max="3080" width="12.77734375" style="189" customWidth="1"/>
    <col min="3081" max="3081" width="22.77734375" style="189" customWidth="1"/>
    <col min="3082" max="3328" width="11.44140625" style="189"/>
    <col min="3329" max="3329" width="9.109375" style="189" customWidth="1"/>
    <col min="3330" max="3330" width="12.77734375" style="189" customWidth="1"/>
    <col min="3331" max="3331" width="22.77734375" style="189" customWidth="1"/>
    <col min="3332" max="3332" width="10" style="189" customWidth="1"/>
    <col min="3333" max="3333" width="14" style="189" customWidth="1"/>
    <col min="3334" max="3334" width="22.77734375" style="189" customWidth="1"/>
    <col min="3335" max="3335" width="9.109375" style="189" customWidth="1"/>
    <col min="3336" max="3336" width="12.77734375" style="189" customWidth="1"/>
    <col min="3337" max="3337" width="22.77734375" style="189" customWidth="1"/>
    <col min="3338" max="3584" width="11.44140625" style="189"/>
    <col min="3585" max="3585" width="9.109375" style="189" customWidth="1"/>
    <col min="3586" max="3586" width="12.77734375" style="189" customWidth="1"/>
    <col min="3587" max="3587" width="22.77734375" style="189" customWidth="1"/>
    <col min="3588" max="3588" width="10" style="189" customWidth="1"/>
    <col min="3589" max="3589" width="14" style="189" customWidth="1"/>
    <col min="3590" max="3590" width="22.77734375" style="189" customWidth="1"/>
    <col min="3591" max="3591" width="9.109375" style="189" customWidth="1"/>
    <col min="3592" max="3592" width="12.77734375" style="189" customWidth="1"/>
    <col min="3593" max="3593" width="22.77734375" style="189" customWidth="1"/>
    <col min="3594" max="3840" width="11.44140625" style="189"/>
    <col min="3841" max="3841" width="9.109375" style="189" customWidth="1"/>
    <col min="3842" max="3842" width="12.77734375" style="189" customWidth="1"/>
    <col min="3843" max="3843" width="22.77734375" style="189" customWidth="1"/>
    <col min="3844" max="3844" width="10" style="189" customWidth="1"/>
    <col min="3845" max="3845" width="14" style="189" customWidth="1"/>
    <col min="3846" max="3846" width="22.77734375" style="189" customWidth="1"/>
    <col min="3847" max="3847" width="9.109375" style="189" customWidth="1"/>
    <col min="3848" max="3848" width="12.77734375" style="189" customWidth="1"/>
    <col min="3849" max="3849" width="22.77734375" style="189" customWidth="1"/>
    <col min="3850" max="4096" width="11.44140625" style="189"/>
    <col min="4097" max="4097" width="9.109375" style="189" customWidth="1"/>
    <col min="4098" max="4098" width="12.77734375" style="189" customWidth="1"/>
    <col min="4099" max="4099" width="22.77734375" style="189" customWidth="1"/>
    <col min="4100" max="4100" width="10" style="189" customWidth="1"/>
    <col min="4101" max="4101" width="14" style="189" customWidth="1"/>
    <col min="4102" max="4102" width="22.77734375" style="189" customWidth="1"/>
    <col min="4103" max="4103" width="9.109375" style="189" customWidth="1"/>
    <col min="4104" max="4104" width="12.77734375" style="189" customWidth="1"/>
    <col min="4105" max="4105" width="22.77734375" style="189" customWidth="1"/>
    <col min="4106" max="4352" width="11.44140625" style="189"/>
    <col min="4353" max="4353" width="9.109375" style="189" customWidth="1"/>
    <col min="4354" max="4354" width="12.77734375" style="189" customWidth="1"/>
    <col min="4355" max="4355" width="22.77734375" style="189" customWidth="1"/>
    <col min="4356" max="4356" width="10" style="189" customWidth="1"/>
    <col min="4357" max="4357" width="14" style="189" customWidth="1"/>
    <col min="4358" max="4358" width="22.77734375" style="189" customWidth="1"/>
    <col min="4359" max="4359" width="9.109375" style="189" customWidth="1"/>
    <col min="4360" max="4360" width="12.77734375" style="189" customWidth="1"/>
    <col min="4361" max="4361" width="22.77734375" style="189" customWidth="1"/>
    <col min="4362" max="4608" width="11.44140625" style="189"/>
    <col min="4609" max="4609" width="9.109375" style="189" customWidth="1"/>
    <col min="4610" max="4610" width="12.77734375" style="189" customWidth="1"/>
    <col min="4611" max="4611" width="22.77734375" style="189" customWidth="1"/>
    <col min="4612" max="4612" width="10" style="189" customWidth="1"/>
    <col min="4613" max="4613" width="14" style="189" customWidth="1"/>
    <col min="4614" max="4614" width="22.77734375" style="189" customWidth="1"/>
    <col min="4615" max="4615" width="9.109375" style="189" customWidth="1"/>
    <col min="4616" max="4616" width="12.77734375" style="189" customWidth="1"/>
    <col min="4617" max="4617" width="22.77734375" style="189" customWidth="1"/>
    <col min="4618" max="4864" width="11.44140625" style="189"/>
    <col min="4865" max="4865" width="9.109375" style="189" customWidth="1"/>
    <col min="4866" max="4866" width="12.77734375" style="189" customWidth="1"/>
    <col min="4867" max="4867" width="22.77734375" style="189" customWidth="1"/>
    <col min="4868" max="4868" width="10" style="189" customWidth="1"/>
    <col min="4869" max="4869" width="14" style="189" customWidth="1"/>
    <col min="4870" max="4870" width="22.77734375" style="189" customWidth="1"/>
    <col min="4871" max="4871" width="9.109375" style="189" customWidth="1"/>
    <col min="4872" max="4872" width="12.77734375" style="189" customWidth="1"/>
    <col min="4873" max="4873" width="22.77734375" style="189" customWidth="1"/>
    <col min="4874" max="5120" width="11.44140625" style="189"/>
    <col min="5121" max="5121" width="9.109375" style="189" customWidth="1"/>
    <col min="5122" max="5122" width="12.77734375" style="189" customWidth="1"/>
    <col min="5123" max="5123" width="22.77734375" style="189" customWidth="1"/>
    <col min="5124" max="5124" width="10" style="189" customWidth="1"/>
    <col min="5125" max="5125" width="14" style="189" customWidth="1"/>
    <col min="5126" max="5126" width="22.77734375" style="189" customWidth="1"/>
    <col min="5127" max="5127" width="9.109375" style="189" customWidth="1"/>
    <col min="5128" max="5128" width="12.77734375" style="189" customWidth="1"/>
    <col min="5129" max="5129" width="22.77734375" style="189" customWidth="1"/>
    <col min="5130" max="5376" width="11.44140625" style="189"/>
    <col min="5377" max="5377" width="9.109375" style="189" customWidth="1"/>
    <col min="5378" max="5378" width="12.77734375" style="189" customWidth="1"/>
    <col min="5379" max="5379" width="22.77734375" style="189" customWidth="1"/>
    <col min="5380" max="5380" width="10" style="189" customWidth="1"/>
    <col min="5381" max="5381" width="14" style="189" customWidth="1"/>
    <col min="5382" max="5382" width="22.77734375" style="189" customWidth="1"/>
    <col min="5383" max="5383" width="9.109375" style="189" customWidth="1"/>
    <col min="5384" max="5384" width="12.77734375" style="189" customWidth="1"/>
    <col min="5385" max="5385" width="22.77734375" style="189" customWidth="1"/>
    <col min="5386" max="5632" width="11.44140625" style="189"/>
    <col min="5633" max="5633" width="9.109375" style="189" customWidth="1"/>
    <col min="5634" max="5634" width="12.77734375" style="189" customWidth="1"/>
    <col min="5635" max="5635" width="22.77734375" style="189" customWidth="1"/>
    <col min="5636" max="5636" width="10" style="189" customWidth="1"/>
    <col min="5637" max="5637" width="14" style="189" customWidth="1"/>
    <col min="5638" max="5638" width="22.77734375" style="189" customWidth="1"/>
    <col min="5639" max="5639" width="9.109375" style="189" customWidth="1"/>
    <col min="5640" max="5640" width="12.77734375" style="189" customWidth="1"/>
    <col min="5641" max="5641" width="22.77734375" style="189" customWidth="1"/>
    <col min="5642" max="5888" width="11.44140625" style="189"/>
    <col min="5889" max="5889" width="9.109375" style="189" customWidth="1"/>
    <col min="5890" max="5890" width="12.77734375" style="189" customWidth="1"/>
    <col min="5891" max="5891" width="22.77734375" style="189" customWidth="1"/>
    <col min="5892" max="5892" width="10" style="189" customWidth="1"/>
    <col min="5893" max="5893" width="14" style="189" customWidth="1"/>
    <col min="5894" max="5894" width="22.77734375" style="189" customWidth="1"/>
    <col min="5895" max="5895" width="9.109375" style="189" customWidth="1"/>
    <col min="5896" max="5896" width="12.77734375" style="189" customWidth="1"/>
    <col min="5897" max="5897" width="22.77734375" style="189" customWidth="1"/>
    <col min="5898" max="6144" width="11.44140625" style="189"/>
    <col min="6145" max="6145" width="9.109375" style="189" customWidth="1"/>
    <col min="6146" max="6146" width="12.77734375" style="189" customWidth="1"/>
    <col min="6147" max="6147" width="22.77734375" style="189" customWidth="1"/>
    <col min="6148" max="6148" width="10" style="189" customWidth="1"/>
    <col min="6149" max="6149" width="14" style="189" customWidth="1"/>
    <col min="6150" max="6150" width="22.77734375" style="189" customWidth="1"/>
    <col min="6151" max="6151" width="9.109375" style="189" customWidth="1"/>
    <col min="6152" max="6152" width="12.77734375" style="189" customWidth="1"/>
    <col min="6153" max="6153" width="22.77734375" style="189" customWidth="1"/>
    <col min="6154" max="6400" width="11.44140625" style="189"/>
    <col min="6401" max="6401" width="9.109375" style="189" customWidth="1"/>
    <col min="6402" max="6402" width="12.77734375" style="189" customWidth="1"/>
    <col min="6403" max="6403" width="22.77734375" style="189" customWidth="1"/>
    <col min="6404" max="6404" width="10" style="189" customWidth="1"/>
    <col min="6405" max="6405" width="14" style="189" customWidth="1"/>
    <col min="6406" max="6406" width="22.77734375" style="189" customWidth="1"/>
    <col min="6407" max="6407" width="9.109375" style="189" customWidth="1"/>
    <col min="6408" max="6408" width="12.77734375" style="189" customWidth="1"/>
    <col min="6409" max="6409" width="22.77734375" style="189" customWidth="1"/>
    <col min="6410" max="6656" width="11.44140625" style="189"/>
    <col min="6657" max="6657" width="9.109375" style="189" customWidth="1"/>
    <col min="6658" max="6658" width="12.77734375" style="189" customWidth="1"/>
    <col min="6659" max="6659" width="22.77734375" style="189" customWidth="1"/>
    <col min="6660" max="6660" width="10" style="189" customWidth="1"/>
    <col min="6661" max="6661" width="14" style="189" customWidth="1"/>
    <col min="6662" max="6662" width="22.77734375" style="189" customWidth="1"/>
    <col min="6663" max="6663" width="9.109375" style="189" customWidth="1"/>
    <col min="6664" max="6664" width="12.77734375" style="189" customWidth="1"/>
    <col min="6665" max="6665" width="22.77734375" style="189" customWidth="1"/>
    <col min="6666" max="6912" width="11.44140625" style="189"/>
    <col min="6913" max="6913" width="9.109375" style="189" customWidth="1"/>
    <col min="6914" max="6914" width="12.77734375" style="189" customWidth="1"/>
    <col min="6915" max="6915" width="22.77734375" style="189" customWidth="1"/>
    <col min="6916" max="6916" width="10" style="189" customWidth="1"/>
    <col min="6917" max="6917" width="14" style="189" customWidth="1"/>
    <col min="6918" max="6918" width="22.77734375" style="189" customWidth="1"/>
    <col min="6919" max="6919" width="9.109375" style="189" customWidth="1"/>
    <col min="6920" max="6920" width="12.77734375" style="189" customWidth="1"/>
    <col min="6921" max="6921" width="22.77734375" style="189" customWidth="1"/>
    <col min="6922" max="7168" width="11.44140625" style="189"/>
    <col min="7169" max="7169" width="9.109375" style="189" customWidth="1"/>
    <col min="7170" max="7170" width="12.77734375" style="189" customWidth="1"/>
    <col min="7171" max="7171" width="22.77734375" style="189" customWidth="1"/>
    <col min="7172" max="7172" width="10" style="189" customWidth="1"/>
    <col min="7173" max="7173" width="14" style="189" customWidth="1"/>
    <col min="7174" max="7174" width="22.77734375" style="189" customWidth="1"/>
    <col min="7175" max="7175" width="9.109375" style="189" customWidth="1"/>
    <col min="7176" max="7176" width="12.77734375" style="189" customWidth="1"/>
    <col min="7177" max="7177" width="22.77734375" style="189" customWidth="1"/>
    <col min="7178" max="7424" width="11.44140625" style="189"/>
    <col min="7425" max="7425" width="9.109375" style="189" customWidth="1"/>
    <col min="7426" max="7426" width="12.77734375" style="189" customWidth="1"/>
    <col min="7427" max="7427" width="22.77734375" style="189" customWidth="1"/>
    <col min="7428" max="7428" width="10" style="189" customWidth="1"/>
    <col min="7429" max="7429" width="14" style="189" customWidth="1"/>
    <col min="7430" max="7430" width="22.77734375" style="189" customWidth="1"/>
    <col min="7431" max="7431" width="9.109375" style="189" customWidth="1"/>
    <col min="7432" max="7432" width="12.77734375" style="189" customWidth="1"/>
    <col min="7433" max="7433" width="22.77734375" style="189" customWidth="1"/>
    <col min="7434" max="7680" width="11.44140625" style="189"/>
    <col min="7681" max="7681" width="9.109375" style="189" customWidth="1"/>
    <col min="7682" max="7682" width="12.77734375" style="189" customWidth="1"/>
    <col min="7683" max="7683" width="22.77734375" style="189" customWidth="1"/>
    <col min="7684" max="7684" width="10" style="189" customWidth="1"/>
    <col min="7685" max="7685" width="14" style="189" customWidth="1"/>
    <col min="7686" max="7686" width="22.77734375" style="189" customWidth="1"/>
    <col min="7687" max="7687" width="9.109375" style="189" customWidth="1"/>
    <col min="7688" max="7688" width="12.77734375" style="189" customWidth="1"/>
    <col min="7689" max="7689" width="22.77734375" style="189" customWidth="1"/>
    <col min="7690" max="7936" width="11.44140625" style="189"/>
    <col min="7937" max="7937" width="9.109375" style="189" customWidth="1"/>
    <col min="7938" max="7938" width="12.77734375" style="189" customWidth="1"/>
    <col min="7939" max="7939" width="22.77734375" style="189" customWidth="1"/>
    <col min="7940" max="7940" width="10" style="189" customWidth="1"/>
    <col min="7941" max="7941" width="14" style="189" customWidth="1"/>
    <col min="7942" max="7942" width="22.77734375" style="189" customWidth="1"/>
    <col min="7943" max="7943" width="9.109375" style="189" customWidth="1"/>
    <col min="7944" max="7944" width="12.77734375" style="189" customWidth="1"/>
    <col min="7945" max="7945" width="22.77734375" style="189" customWidth="1"/>
    <col min="7946" max="8192" width="11.44140625" style="189"/>
    <col min="8193" max="8193" width="9.109375" style="189" customWidth="1"/>
    <col min="8194" max="8194" width="12.77734375" style="189" customWidth="1"/>
    <col min="8195" max="8195" width="22.77734375" style="189" customWidth="1"/>
    <col min="8196" max="8196" width="10" style="189" customWidth="1"/>
    <col min="8197" max="8197" width="14" style="189" customWidth="1"/>
    <col min="8198" max="8198" width="22.77734375" style="189" customWidth="1"/>
    <col min="8199" max="8199" width="9.109375" style="189" customWidth="1"/>
    <col min="8200" max="8200" width="12.77734375" style="189" customWidth="1"/>
    <col min="8201" max="8201" width="22.77734375" style="189" customWidth="1"/>
    <col min="8202" max="8448" width="11.44140625" style="189"/>
    <col min="8449" max="8449" width="9.109375" style="189" customWidth="1"/>
    <col min="8450" max="8450" width="12.77734375" style="189" customWidth="1"/>
    <col min="8451" max="8451" width="22.77734375" style="189" customWidth="1"/>
    <col min="8452" max="8452" width="10" style="189" customWidth="1"/>
    <col min="8453" max="8453" width="14" style="189" customWidth="1"/>
    <col min="8454" max="8454" width="22.77734375" style="189" customWidth="1"/>
    <col min="8455" max="8455" width="9.109375" style="189" customWidth="1"/>
    <col min="8456" max="8456" width="12.77734375" style="189" customWidth="1"/>
    <col min="8457" max="8457" width="22.77734375" style="189" customWidth="1"/>
    <col min="8458" max="8704" width="11.44140625" style="189"/>
    <col min="8705" max="8705" width="9.109375" style="189" customWidth="1"/>
    <col min="8706" max="8706" width="12.77734375" style="189" customWidth="1"/>
    <col min="8707" max="8707" width="22.77734375" style="189" customWidth="1"/>
    <col min="8708" max="8708" width="10" style="189" customWidth="1"/>
    <col min="8709" max="8709" width="14" style="189" customWidth="1"/>
    <col min="8710" max="8710" width="22.77734375" style="189" customWidth="1"/>
    <col min="8711" max="8711" width="9.109375" style="189" customWidth="1"/>
    <col min="8712" max="8712" width="12.77734375" style="189" customWidth="1"/>
    <col min="8713" max="8713" width="22.77734375" style="189" customWidth="1"/>
    <col min="8714" max="8960" width="11.44140625" style="189"/>
    <col min="8961" max="8961" width="9.109375" style="189" customWidth="1"/>
    <col min="8962" max="8962" width="12.77734375" style="189" customWidth="1"/>
    <col min="8963" max="8963" width="22.77734375" style="189" customWidth="1"/>
    <col min="8964" max="8964" width="10" style="189" customWidth="1"/>
    <col min="8965" max="8965" width="14" style="189" customWidth="1"/>
    <col min="8966" max="8966" width="22.77734375" style="189" customWidth="1"/>
    <col min="8967" max="8967" width="9.109375" style="189" customWidth="1"/>
    <col min="8968" max="8968" width="12.77734375" style="189" customWidth="1"/>
    <col min="8969" max="8969" width="22.77734375" style="189" customWidth="1"/>
    <col min="8970" max="9216" width="11.44140625" style="189"/>
    <col min="9217" max="9217" width="9.109375" style="189" customWidth="1"/>
    <col min="9218" max="9218" width="12.77734375" style="189" customWidth="1"/>
    <col min="9219" max="9219" width="22.77734375" style="189" customWidth="1"/>
    <col min="9220" max="9220" width="10" style="189" customWidth="1"/>
    <col min="9221" max="9221" width="14" style="189" customWidth="1"/>
    <col min="9222" max="9222" width="22.77734375" style="189" customWidth="1"/>
    <col min="9223" max="9223" width="9.109375" style="189" customWidth="1"/>
    <col min="9224" max="9224" width="12.77734375" style="189" customWidth="1"/>
    <col min="9225" max="9225" width="22.77734375" style="189" customWidth="1"/>
    <col min="9226" max="9472" width="11.44140625" style="189"/>
    <col min="9473" max="9473" width="9.109375" style="189" customWidth="1"/>
    <col min="9474" max="9474" width="12.77734375" style="189" customWidth="1"/>
    <col min="9475" max="9475" width="22.77734375" style="189" customWidth="1"/>
    <col min="9476" max="9476" width="10" style="189" customWidth="1"/>
    <col min="9477" max="9477" width="14" style="189" customWidth="1"/>
    <col min="9478" max="9478" width="22.77734375" style="189" customWidth="1"/>
    <col min="9479" max="9479" width="9.109375" style="189" customWidth="1"/>
    <col min="9480" max="9480" width="12.77734375" style="189" customWidth="1"/>
    <col min="9481" max="9481" width="22.77734375" style="189" customWidth="1"/>
    <col min="9482" max="9728" width="11.44140625" style="189"/>
    <col min="9729" max="9729" width="9.109375" style="189" customWidth="1"/>
    <col min="9730" max="9730" width="12.77734375" style="189" customWidth="1"/>
    <col min="9731" max="9731" width="22.77734375" style="189" customWidth="1"/>
    <col min="9732" max="9732" width="10" style="189" customWidth="1"/>
    <col min="9733" max="9733" width="14" style="189" customWidth="1"/>
    <col min="9734" max="9734" width="22.77734375" style="189" customWidth="1"/>
    <col min="9735" max="9735" width="9.109375" style="189" customWidth="1"/>
    <col min="9736" max="9736" width="12.77734375" style="189" customWidth="1"/>
    <col min="9737" max="9737" width="22.77734375" style="189" customWidth="1"/>
    <col min="9738" max="9984" width="11.44140625" style="189"/>
    <col min="9985" max="9985" width="9.109375" style="189" customWidth="1"/>
    <col min="9986" max="9986" width="12.77734375" style="189" customWidth="1"/>
    <col min="9987" max="9987" width="22.77734375" style="189" customWidth="1"/>
    <col min="9988" max="9988" width="10" style="189" customWidth="1"/>
    <col min="9989" max="9989" width="14" style="189" customWidth="1"/>
    <col min="9990" max="9990" width="22.77734375" style="189" customWidth="1"/>
    <col min="9991" max="9991" width="9.109375" style="189" customWidth="1"/>
    <col min="9992" max="9992" width="12.77734375" style="189" customWidth="1"/>
    <col min="9993" max="9993" width="22.77734375" style="189" customWidth="1"/>
    <col min="9994" max="10240" width="11.44140625" style="189"/>
    <col min="10241" max="10241" width="9.109375" style="189" customWidth="1"/>
    <col min="10242" max="10242" width="12.77734375" style="189" customWidth="1"/>
    <col min="10243" max="10243" width="22.77734375" style="189" customWidth="1"/>
    <col min="10244" max="10244" width="10" style="189" customWidth="1"/>
    <col min="10245" max="10245" width="14" style="189" customWidth="1"/>
    <col min="10246" max="10246" width="22.77734375" style="189" customWidth="1"/>
    <col min="10247" max="10247" width="9.109375" style="189" customWidth="1"/>
    <col min="10248" max="10248" width="12.77734375" style="189" customWidth="1"/>
    <col min="10249" max="10249" width="22.77734375" style="189" customWidth="1"/>
    <col min="10250" max="10496" width="11.44140625" style="189"/>
    <col min="10497" max="10497" width="9.109375" style="189" customWidth="1"/>
    <col min="10498" max="10498" width="12.77734375" style="189" customWidth="1"/>
    <col min="10499" max="10499" width="22.77734375" style="189" customWidth="1"/>
    <col min="10500" max="10500" width="10" style="189" customWidth="1"/>
    <col min="10501" max="10501" width="14" style="189" customWidth="1"/>
    <col min="10502" max="10502" width="22.77734375" style="189" customWidth="1"/>
    <col min="10503" max="10503" width="9.109375" style="189" customWidth="1"/>
    <col min="10504" max="10504" width="12.77734375" style="189" customWidth="1"/>
    <col min="10505" max="10505" width="22.77734375" style="189" customWidth="1"/>
    <col min="10506" max="10752" width="11.44140625" style="189"/>
    <col min="10753" max="10753" width="9.109375" style="189" customWidth="1"/>
    <col min="10754" max="10754" width="12.77734375" style="189" customWidth="1"/>
    <col min="10755" max="10755" width="22.77734375" style="189" customWidth="1"/>
    <col min="10756" max="10756" width="10" style="189" customWidth="1"/>
    <col min="10757" max="10757" width="14" style="189" customWidth="1"/>
    <col min="10758" max="10758" width="22.77734375" style="189" customWidth="1"/>
    <col min="10759" max="10759" width="9.109375" style="189" customWidth="1"/>
    <col min="10760" max="10760" width="12.77734375" style="189" customWidth="1"/>
    <col min="10761" max="10761" width="22.77734375" style="189" customWidth="1"/>
    <col min="10762" max="11008" width="11.44140625" style="189"/>
    <col min="11009" max="11009" width="9.109375" style="189" customWidth="1"/>
    <col min="11010" max="11010" width="12.77734375" style="189" customWidth="1"/>
    <col min="11011" max="11011" width="22.77734375" style="189" customWidth="1"/>
    <col min="11012" max="11012" width="10" style="189" customWidth="1"/>
    <col min="11013" max="11013" width="14" style="189" customWidth="1"/>
    <col min="11014" max="11014" width="22.77734375" style="189" customWidth="1"/>
    <col min="11015" max="11015" width="9.109375" style="189" customWidth="1"/>
    <col min="11016" max="11016" width="12.77734375" style="189" customWidth="1"/>
    <col min="11017" max="11017" width="22.77734375" style="189" customWidth="1"/>
    <col min="11018" max="11264" width="11.44140625" style="189"/>
    <col min="11265" max="11265" width="9.109375" style="189" customWidth="1"/>
    <col min="11266" max="11266" width="12.77734375" style="189" customWidth="1"/>
    <col min="11267" max="11267" width="22.77734375" style="189" customWidth="1"/>
    <col min="11268" max="11268" width="10" style="189" customWidth="1"/>
    <col min="11269" max="11269" width="14" style="189" customWidth="1"/>
    <col min="11270" max="11270" width="22.77734375" style="189" customWidth="1"/>
    <col min="11271" max="11271" width="9.109375" style="189" customWidth="1"/>
    <col min="11272" max="11272" width="12.77734375" style="189" customWidth="1"/>
    <col min="11273" max="11273" width="22.77734375" style="189" customWidth="1"/>
    <col min="11274" max="11520" width="11.44140625" style="189"/>
    <col min="11521" max="11521" width="9.109375" style="189" customWidth="1"/>
    <col min="11522" max="11522" width="12.77734375" style="189" customWidth="1"/>
    <col min="11523" max="11523" width="22.77734375" style="189" customWidth="1"/>
    <col min="11524" max="11524" width="10" style="189" customWidth="1"/>
    <col min="11525" max="11525" width="14" style="189" customWidth="1"/>
    <col min="11526" max="11526" width="22.77734375" style="189" customWidth="1"/>
    <col min="11527" max="11527" width="9.109375" style="189" customWidth="1"/>
    <col min="11528" max="11528" width="12.77734375" style="189" customWidth="1"/>
    <col min="11529" max="11529" width="22.77734375" style="189" customWidth="1"/>
    <col min="11530" max="11776" width="11.44140625" style="189"/>
    <col min="11777" max="11777" width="9.109375" style="189" customWidth="1"/>
    <col min="11778" max="11778" width="12.77734375" style="189" customWidth="1"/>
    <col min="11779" max="11779" width="22.77734375" style="189" customWidth="1"/>
    <col min="11780" max="11780" width="10" style="189" customWidth="1"/>
    <col min="11781" max="11781" width="14" style="189" customWidth="1"/>
    <col min="11782" max="11782" width="22.77734375" style="189" customWidth="1"/>
    <col min="11783" max="11783" width="9.109375" style="189" customWidth="1"/>
    <col min="11784" max="11784" width="12.77734375" style="189" customWidth="1"/>
    <col min="11785" max="11785" width="22.77734375" style="189" customWidth="1"/>
    <col min="11786" max="12032" width="11.44140625" style="189"/>
    <col min="12033" max="12033" width="9.109375" style="189" customWidth="1"/>
    <col min="12034" max="12034" width="12.77734375" style="189" customWidth="1"/>
    <col min="12035" max="12035" width="22.77734375" style="189" customWidth="1"/>
    <col min="12036" max="12036" width="10" style="189" customWidth="1"/>
    <col min="12037" max="12037" width="14" style="189" customWidth="1"/>
    <col min="12038" max="12038" width="22.77734375" style="189" customWidth="1"/>
    <col min="12039" max="12039" width="9.109375" style="189" customWidth="1"/>
    <col min="12040" max="12040" width="12.77734375" style="189" customWidth="1"/>
    <col min="12041" max="12041" width="22.77734375" style="189" customWidth="1"/>
    <col min="12042" max="12288" width="11.44140625" style="189"/>
    <col min="12289" max="12289" width="9.109375" style="189" customWidth="1"/>
    <col min="12290" max="12290" width="12.77734375" style="189" customWidth="1"/>
    <col min="12291" max="12291" width="22.77734375" style="189" customWidth="1"/>
    <col min="12292" max="12292" width="10" style="189" customWidth="1"/>
    <col min="12293" max="12293" width="14" style="189" customWidth="1"/>
    <col min="12294" max="12294" width="22.77734375" style="189" customWidth="1"/>
    <col min="12295" max="12295" width="9.109375" style="189" customWidth="1"/>
    <col min="12296" max="12296" width="12.77734375" style="189" customWidth="1"/>
    <col min="12297" max="12297" width="22.77734375" style="189" customWidth="1"/>
    <col min="12298" max="12544" width="11.44140625" style="189"/>
    <col min="12545" max="12545" width="9.109375" style="189" customWidth="1"/>
    <col min="12546" max="12546" width="12.77734375" style="189" customWidth="1"/>
    <col min="12547" max="12547" width="22.77734375" style="189" customWidth="1"/>
    <col min="12548" max="12548" width="10" style="189" customWidth="1"/>
    <col min="12549" max="12549" width="14" style="189" customWidth="1"/>
    <col min="12550" max="12550" width="22.77734375" style="189" customWidth="1"/>
    <col min="12551" max="12551" width="9.109375" style="189" customWidth="1"/>
    <col min="12552" max="12552" width="12.77734375" style="189" customWidth="1"/>
    <col min="12553" max="12553" width="22.77734375" style="189" customWidth="1"/>
    <col min="12554" max="12800" width="11.44140625" style="189"/>
    <col min="12801" max="12801" width="9.109375" style="189" customWidth="1"/>
    <col min="12802" max="12802" width="12.77734375" style="189" customWidth="1"/>
    <col min="12803" max="12803" width="22.77734375" style="189" customWidth="1"/>
    <col min="12804" max="12804" width="10" style="189" customWidth="1"/>
    <col min="12805" max="12805" width="14" style="189" customWidth="1"/>
    <col min="12806" max="12806" width="22.77734375" style="189" customWidth="1"/>
    <col min="12807" max="12807" width="9.109375" style="189" customWidth="1"/>
    <col min="12808" max="12808" width="12.77734375" style="189" customWidth="1"/>
    <col min="12809" max="12809" width="22.77734375" style="189" customWidth="1"/>
    <col min="12810" max="13056" width="11.44140625" style="189"/>
    <col min="13057" max="13057" width="9.109375" style="189" customWidth="1"/>
    <col min="13058" max="13058" width="12.77734375" style="189" customWidth="1"/>
    <col min="13059" max="13059" width="22.77734375" style="189" customWidth="1"/>
    <col min="13060" max="13060" width="10" style="189" customWidth="1"/>
    <col min="13061" max="13061" width="14" style="189" customWidth="1"/>
    <col min="13062" max="13062" width="22.77734375" style="189" customWidth="1"/>
    <col min="13063" max="13063" width="9.109375" style="189" customWidth="1"/>
    <col min="13064" max="13064" width="12.77734375" style="189" customWidth="1"/>
    <col min="13065" max="13065" width="22.77734375" style="189" customWidth="1"/>
    <col min="13066" max="13312" width="11.44140625" style="189"/>
    <col min="13313" max="13313" width="9.109375" style="189" customWidth="1"/>
    <col min="13314" max="13314" width="12.77734375" style="189" customWidth="1"/>
    <col min="13315" max="13315" width="22.77734375" style="189" customWidth="1"/>
    <col min="13316" max="13316" width="10" style="189" customWidth="1"/>
    <col min="13317" max="13317" width="14" style="189" customWidth="1"/>
    <col min="13318" max="13318" width="22.77734375" style="189" customWidth="1"/>
    <col min="13319" max="13319" width="9.109375" style="189" customWidth="1"/>
    <col min="13320" max="13320" width="12.77734375" style="189" customWidth="1"/>
    <col min="13321" max="13321" width="22.77734375" style="189" customWidth="1"/>
    <col min="13322" max="13568" width="11.44140625" style="189"/>
    <col min="13569" max="13569" width="9.109375" style="189" customWidth="1"/>
    <col min="13570" max="13570" width="12.77734375" style="189" customWidth="1"/>
    <col min="13571" max="13571" width="22.77734375" style="189" customWidth="1"/>
    <col min="13572" max="13572" width="10" style="189" customWidth="1"/>
    <col min="13573" max="13573" width="14" style="189" customWidth="1"/>
    <col min="13574" max="13574" width="22.77734375" style="189" customWidth="1"/>
    <col min="13575" max="13575" width="9.109375" style="189" customWidth="1"/>
    <col min="13576" max="13576" width="12.77734375" style="189" customWidth="1"/>
    <col min="13577" max="13577" width="22.77734375" style="189" customWidth="1"/>
    <col min="13578" max="13824" width="11.44140625" style="189"/>
    <col min="13825" max="13825" width="9.109375" style="189" customWidth="1"/>
    <col min="13826" max="13826" width="12.77734375" style="189" customWidth="1"/>
    <col min="13827" max="13827" width="22.77734375" style="189" customWidth="1"/>
    <col min="13828" max="13828" width="10" style="189" customWidth="1"/>
    <col min="13829" max="13829" width="14" style="189" customWidth="1"/>
    <col min="13830" max="13830" width="22.77734375" style="189" customWidth="1"/>
    <col min="13831" max="13831" width="9.109375" style="189" customWidth="1"/>
    <col min="13832" max="13832" width="12.77734375" style="189" customWidth="1"/>
    <col min="13833" max="13833" width="22.77734375" style="189" customWidth="1"/>
    <col min="13834" max="14080" width="11.44140625" style="189"/>
    <col min="14081" max="14081" width="9.109375" style="189" customWidth="1"/>
    <col min="14082" max="14082" width="12.77734375" style="189" customWidth="1"/>
    <col min="14083" max="14083" width="22.77734375" style="189" customWidth="1"/>
    <col min="14084" max="14084" width="10" style="189" customWidth="1"/>
    <col min="14085" max="14085" width="14" style="189" customWidth="1"/>
    <col min="14086" max="14086" width="22.77734375" style="189" customWidth="1"/>
    <col min="14087" max="14087" width="9.109375" style="189" customWidth="1"/>
    <col min="14088" max="14088" width="12.77734375" style="189" customWidth="1"/>
    <col min="14089" max="14089" width="22.77734375" style="189" customWidth="1"/>
    <col min="14090" max="14336" width="11.44140625" style="189"/>
    <col min="14337" max="14337" width="9.109375" style="189" customWidth="1"/>
    <col min="14338" max="14338" width="12.77734375" style="189" customWidth="1"/>
    <col min="14339" max="14339" width="22.77734375" style="189" customWidth="1"/>
    <col min="14340" max="14340" width="10" style="189" customWidth="1"/>
    <col min="14341" max="14341" width="14" style="189" customWidth="1"/>
    <col min="14342" max="14342" width="22.77734375" style="189" customWidth="1"/>
    <col min="14343" max="14343" width="9.109375" style="189" customWidth="1"/>
    <col min="14344" max="14344" width="12.77734375" style="189" customWidth="1"/>
    <col min="14345" max="14345" width="22.77734375" style="189" customWidth="1"/>
    <col min="14346" max="14592" width="11.44140625" style="189"/>
    <col min="14593" max="14593" width="9.109375" style="189" customWidth="1"/>
    <col min="14594" max="14594" width="12.77734375" style="189" customWidth="1"/>
    <col min="14595" max="14595" width="22.77734375" style="189" customWidth="1"/>
    <col min="14596" max="14596" width="10" style="189" customWidth="1"/>
    <col min="14597" max="14597" width="14" style="189" customWidth="1"/>
    <col min="14598" max="14598" width="22.77734375" style="189" customWidth="1"/>
    <col min="14599" max="14599" width="9.109375" style="189" customWidth="1"/>
    <col min="14600" max="14600" width="12.77734375" style="189" customWidth="1"/>
    <col min="14601" max="14601" width="22.77734375" style="189" customWidth="1"/>
    <col min="14602" max="14848" width="11.44140625" style="189"/>
    <col min="14849" max="14849" width="9.109375" style="189" customWidth="1"/>
    <col min="14850" max="14850" width="12.77734375" style="189" customWidth="1"/>
    <col min="14851" max="14851" width="22.77734375" style="189" customWidth="1"/>
    <col min="14852" max="14852" width="10" style="189" customWidth="1"/>
    <col min="14853" max="14853" width="14" style="189" customWidth="1"/>
    <col min="14854" max="14854" width="22.77734375" style="189" customWidth="1"/>
    <col min="14855" max="14855" width="9.109375" style="189" customWidth="1"/>
    <col min="14856" max="14856" width="12.77734375" style="189" customWidth="1"/>
    <col min="14857" max="14857" width="22.77734375" style="189" customWidth="1"/>
    <col min="14858" max="15104" width="11.44140625" style="189"/>
    <col min="15105" max="15105" width="9.109375" style="189" customWidth="1"/>
    <col min="15106" max="15106" width="12.77734375" style="189" customWidth="1"/>
    <col min="15107" max="15107" width="22.77734375" style="189" customWidth="1"/>
    <col min="15108" max="15108" width="10" style="189" customWidth="1"/>
    <col min="15109" max="15109" width="14" style="189" customWidth="1"/>
    <col min="15110" max="15110" width="22.77734375" style="189" customWidth="1"/>
    <col min="15111" max="15111" width="9.109375" style="189" customWidth="1"/>
    <col min="15112" max="15112" width="12.77734375" style="189" customWidth="1"/>
    <col min="15113" max="15113" width="22.77734375" style="189" customWidth="1"/>
    <col min="15114" max="15360" width="11.44140625" style="189"/>
    <col min="15361" max="15361" width="9.109375" style="189" customWidth="1"/>
    <col min="15362" max="15362" width="12.77734375" style="189" customWidth="1"/>
    <col min="15363" max="15363" width="22.77734375" style="189" customWidth="1"/>
    <col min="15364" max="15364" width="10" style="189" customWidth="1"/>
    <col min="15365" max="15365" width="14" style="189" customWidth="1"/>
    <col min="15366" max="15366" width="22.77734375" style="189" customWidth="1"/>
    <col min="15367" max="15367" width="9.109375" style="189" customWidth="1"/>
    <col min="15368" max="15368" width="12.77734375" style="189" customWidth="1"/>
    <col min="15369" max="15369" width="22.77734375" style="189" customWidth="1"/>
    <col min="15370" max="15616" width="11.44140625" style="189"/>
    <col min="15617" max="15617" width="9.109375" style="189" customWidth="1"/>
    <col min="15618" max="15618" width="12.77734375" style="189" customWidth="1"/>
    <col min="15619" max="15619" width="22.77734375" style="189" customWidth="1"/>
    <col min="15620" max="15620" width="10" style="189" customWidth="1"/>
    <col min="15621" max="15621" width="14" style="189" customWidth="1"/>
    <col min="15622" max="15622" width="22.77734375" style="189" customWidth="1"/>
    <col min="15623" max="15623" width="9.109375" style="189" customWidth="1"/>
    <col min="15624" max="15624" width="12.77734375" style="189" customWidth="1"/>
    <col min="15625" max="15625" width="22.77734375" style="189" customWidth="1"/>
    <col min="15626" max="15872" width="11.44140625" style="189"/>
    <col min="15873" max="15873" width="9.109375" style="189" customWidth="1"/>
    <col min="15874" max="15874" width="12.77734375" style="189" customWidth="1"/>
    <col min="15875" max="15875" width="22.77734375" style="189" customWidth="1"/>
    <col min="15876" max="15876" width="10" style="189" customWidth="1"/>
    <col min="15877" max="15877" width="14" style="189" customWidth="1"/>
    <col min="15878" max="15878" width="22.77734375" style="189" customWidth="1"/>
    <col min="15879" max="15879" width="9.109375" style="189" customWidth="1"/>
    <col min="15880" max="15880" width="12.77734375" style="189" customWidth="1"/>
    <col min="15881" max="15881" width="22.77734375" style="189" customWidth="1"/>
    <col min="15882" max="16128" width="11.44140625" style="189"/>
    <col min="16129" max="16129" width="9.109375" style="189" customWidth="1"/>
    <col min="16130" max="16130" width="12.77734375" style="189" customWidth="1"/>
    <col min="16131" max="16131" width="22.77734375" style="189" customWidth="1"/>
    <col min="16132" max="16132" width="10" style="189" customWidth="1"/>
    <col min="16133" max="16133" width="14" style="189" customWidth="1"/>
    <col min="16134" max="16134" width="22.77734375" style="189" customWidth="1"/>
    <col min="16135" max="16135" width="9.109375" style="189" customWidth="1"/>
    <col min="16136" max="16136" width="12.77734375" style="189" customWidth="1"/>
    <col min="16137" max="16137" width="22.77734375" style="189" customWidth="1"/>
    <col min="16138" max="16384" width="11.44140625" style="189"/>
  </cols>
  <sheetData>
    <row r="1" spans="1:10" ht="28.8" customHeight="1" x14ac:dyDescent="0.25">
      <c r="A1" s="319" t="s">
        <v>655</v>
      </c>
      <c r="B1" s="320"/>
      <c r="C1" s="320"/>
      <c r="D1" s="320"/>
      <c r="E1" s="320"/>
      <c r="F1" s="320"/>
      <c r="G1" s="320"/>
      <c r="H1" s="320"/>
      <c r="I1" s="320"/>
    </row>
    <row r="2" spans="1:10" x14ac:dyDescent="0.25">
      <c r="A2" s="321" t="s">
        <v>656</v>
      </c>
      <c r="B2" s="322"/>
      <c r="C2" s="325" t="s">
        <v>657</v>
      </c>
      <c r="D2" s="326"/>
      <c r="E2" s="328" t="s">
        <v>658</v>
      </c>
      <c r="F2" s="328"/>
      <c r="G2" s="322"/>
      <c r="H2" s="328" t="s">
        <v>659</v>
      </c>
      <c r="I2" s="329"/>
      <c r="J2" s="190"/>
    </row>
    <row r="3" spans="1:10" x14ac:dyDescent="0.25">
      <c r="A3" s="323"/>
      <c r="B3" s="324"/>
      <c r="C3" s="327"/>
      <c r="D3" s="327"/>
      <c r="E3" s="324"/>
      <c r="F3" s="324"/>
      <c r="G3" s="324"/>
      <c r="H3" s="324"/>
      <c r="I3" s="330"/>
      <c r="J3" s="190"/>
    </row>
    <row r="4" spans="1:10" x14ac:dyDescent="0.25">
      <c r="A4" s="332" t="s">
        <v>660</v>
      </c>
      <c r="B4" s="324"/>
      <c r="C4" s="333" t="s">
        <v>661</v>
      </c>
      <c r="D4" s="324"/>
      <c r="E4" s="333" t="s">
        <v>20</v>
      </c>
      <c r="F4" s="333"/>
      <c r="G4" s="324"/>
      <c r="H4" s="333" t="s">
        <v>659</v>
      </c>
      <c r="I4" s="331"/>
      <c r="J4" s="190"/>
    </row>
    <row r="5" spans="1:10" x14ac:dyDescent="0.25">
      <c r="A5" s="323"/>
      <c r="B5" s="324"/>
      <c r="C5" s="324"/>
      <c r="D5" s="324"/>
      <c r="E5" s="324"/>
      <c r="F5" s="324"/>
      <c r="G5" s="324"/>
      <c r="H5" s="324"/>
      <c r="I5" s="330"/>
      <c r="J5" s="190"/>
    </row>
    <row r="6" spans="1:10" x14ac:dyDescent="0.25">
      <c r="A6" s="332" t="s">
        <v>662</v>
      </c>
      <c r="B6" s="324"/>
      <c r="C6" s="333" t="s">
        <v>663</v>
      </c>
      <c r="D6" s="324"/>
      <c r="E6" s="333" t="s">
        <v>19</v>
      </c>
      <c r="F6" s="333"/>
      <c r="G6" s="324"/>
      <c r="H6" s="333" t="s">
        <v>659</v>
      </c>
      <c r="I6" s="331"/>
      <c r="J6" s="190"/>
    </row>
    <row r="7" spans="1:10" x14ac:dyDescent="0.25">
      <c r="A7" s="323"/>
      <c r="B7" s="324"/>
      <c r="C7" s="324"/>
      <c r="D7" s="324"/>
      <c r="E7" s="324"/>
      <c r="F7" s="324"/>
      <c r="G7" s="324"/>
      <c r="H7" s="324"/>
      <c r="I7" s="330"/>
      <c r="J7" s="190"/>
    </row>
    <row r="8" spans="1:10" x14ac:dyDescent="0.25">
      <c r="A8" s="332" t="s">
        <v>664</v>
      </c>
      <c r="B8" s="324"/>
      <c r="C8" s="336">
        <v>43627</v>
      </c>
      <c r="D8" s="324"/>
      <c r="E8" s="333" t="s">
        <v>665</v>
      </c>
      <c r="F8" s="324"/>
      <c r="G8" s="324"/>
      <c r="H8" s="337" t="s">
        <v>666</v>
      </c>
      <c r="I8" s="331" t="s">
        <v>667</v>
      </c>
      <c r="J8" s="190"/>
    </row>
    <row r="9" spans="1:10" x14ac:dyDescent="0.25">
      <c r="A9" s="323"/>
      <c r="B9" s="324"/>
      <c r="C9" s="324"/>
      <c r="D9" s="324"/>
      <c r="E9" s="324"/>
      <c r="F9" s="324"/>
      <c r="G9" s="324"/>
      <c r="H9" s="324"/>
      <c r="I9" s="330"/>
      <c r="J9" s="190"/>
    </row>
    <row r="10" spans="1:10" x14ac:dyDescent="0.25">
      <c r="A10" s="332" t="s">
        <v>668</v>
      </c>
      <c r="B10" s="324"/>
      <c r="C10" s="333"/>
      <c r="D10" s="324"/>
      <c r="E10" s="333" t="s">
        <v>669</v>
      </c>
      <c r="F10" s="333" t="s">
        <v>670</v>
      </c>
      <c r="G10" s="324"/>
      <c r="H10" s="337" t="s">
        <v>671</v>
      </c>
      <c r="I10" s="334">
        <v>43627</v>
      </c>
      <c r="J10" s="190"/>
    </row>
    <row r="11" spans="1:10" x14ac:dyDescent="0.25">
      <c r="A11" s="338"/>
      <c r="B11" s="339"/>
      <c r="C11" s="339"/>
      <c r="D11" s="339"/>
      <c r="E11" s="339"/>
      <c r="F11" s="339"/>
      <c r="G11" s="339"/>
      <c r="H11" s="339"/>
      <c r="I11" s="335"/>
      <c r="J11" s="190"/>
    </row>
    <row r="12" spans="1:10" ht="23.55" customHeight="1" x14ac:dyDescent="0.25">
      <c r="A12" s="340" t="s">
        <v>672</v>
      </c>
      <c r="B12" s="341"/>
      <c r="C12" s="341"/>
      <c r="D12" s="341"/>
      <c r="E12" s="341"/>
      <c r="F12" s="341"/>
      <c r="G12" s="341"/>
      <c r="H12" s="341"/>
      <c r="I12" s="341"/>
    </row>
    <row r="13" spans="1:10" ht="26.55" customHeight="1" x14ac:dyDescent="0.25">
      <c r="A13" s="191" t="s">
        <v>673</v>
      </c>
      <c r="B13" s="342" t="s">
        <v>674</v>
      </c>
      <c r="C13" s="343"/>
      <c r="D13" s="191" t="s">
        <v>675</v>
      </c>
      <c r="E13" s="342" t="s">
        <v>676</v>
      </c>
      <c r="F13" s="343"/>
      <c r="G13" s="191" t="s">
        <v>677</v>
      </c>
      <c r="H13" s="342" t="s">
        <v>678</v>
      </c>
      <c r="I13" s="343"/>
      <c r="J13" s="190"/>
    </row>
    <row r="14" spans="1:10" ht="15.3" customHeight="1" x14ac:dyDescent="0.25">
      <c r="A14" s="192" t="s">
        <v>24</v>
      </c>
      <c r="B14" s="193" t="s">
        <v>679</v>
      </c>
      <c r="C14" s="194">
        <f>SUM('Stavební rozpočet'!R12:R46)</f>
        <v>0</v>
      </c>
      <c r="D14" s="344" t="s">
        <v>680</v>
      </c>
      <c r="E14" s="345"/>
      <c r="F14" s="194">
        <v>0</v>
      </c>
      <c r="G14" s="344" t="s">
        <v>681</v>
      </c>
      <c r="H14" s="345"/>
      <c r="I14" s="194">
        <v>0</v>
      </c>
      <c r="J14" s="190"/>
    </row>
    <row r="15" spans="1:10" ht="15.3" customHeight="1" x14ac:dyDescent="0.25">
      <c r="A15" s="195"/>
      <c r="B15" s="193" t="s">
        <v>31</v>
      </c>
      <c r="C15" s="194">
        <f>SUM('Stavební rozpočet'!S12:S46)</f>
        <v>0</v>
      </c>
      <c r="D15" s="344" t="s">
        <v>682</v>
      </c>
      <c r="E15" s="345"/>
      <c r="F15" s="194">
        <v>0</v>
      </c>
      <c r="G15" s="344" t="s">
        <v>683</v>
      </c>
      <c r="H15" s="345"/>
      <c r="I15" s="194">
        <v>0</v>
      </c>
      <c r="J15" s="190"/>
    </row>
    <row r="16" spans="1:10" ht="15.3" customHeight="1" x14ac:dyDescent="0.25">
      <c r="A16" s="192" t="s">
        <v>25</v>
      </c>
      <c r="B16" s="193" t="s">
        <v>679</v>
      </c>
      <c r="C16" s="194">
        <f>SUM('Stavební rozpočet'!T12:T46)</f>
        <v>0</v>
      </c>
      <c r="D16" s="344" t="s">
        <v>684</v>
      </c>
      <c r="E16" s="345"/>
      <c r="F16" s="194">
        <v>0</v>
      </c>
      <c r="G16" s="344" t="s">
        <v>685</v>
      </c>
      <c r="H16" s="345"/>
      <c r="I16" s="194">
        <v>0</v>
      </c>
      <c r="J16" s="190"/>
    </row>
    <row r="17" spans="1:10" ht="15.3" customHeight="1" x14ac:dyDescent="0.25">
      <c r="A17" s="195"/>
      <c r="B17" s="193" t="s">
        <v>31</v>
      </c>
      <c r="C17" s="194">
        <f>SUM('Stavební rozpočet'!U12:U46)</f>
        <v>0</v>
      </c>
      <c r="D17" s="344"/>
      <c r="E17" s="345"/>
      <c r="F17" s="196"/>
      <c r="G17" s="344" t="s">
        <v>686</v>
      </c>
      <c r="H17" s="345"/>
      <c r="I17" s="194">
        <v>0</v>
      </c>
      <c r="J17" s="190"/>
    </row>
    <row r="18" spans="1:10" ht="15.3" customHeight="1" x14ac:dyDescent="0.25">
      <c r="A18" s="192" t="s">
        <v>687</v>
      </c>
      <c r="B18" s="193" t="s">
        <v>679</v>
      </c>
      <c r="C18" s="194">
        <f>SUM('Stavební rozpočet'!V12:V46)</f>
        <v>0</v>
      </c>
      <c r="D18" s="344"/>
      <c r="E18" s="345"/>
      <c r="F18" s="196"/>
      <c r="G18" s="344" t="s">
        <v>688</v>
      </c>
      <c r="H18" s="345"/>
      <c r="I18" s="194">
        <v>0</v>
      </c>
      <c r="J18" s="190"/>
    </row>
    <row r="19" spans="1:10" ht="15.3" customHeight="1" x14ac:dyDescent="0.25">
      <c r="A19" s="195"/>
      <c r="B19" s="193" t="s">
        <v>31</v>
      </c>
      <c r="C19" s="194">
        <f>SUM('Stavební rozpočet'!W12:W46)</f>
        <v>0</v>
      </c>
      <c r="D19" s="344"/>
      <c r="E19" s="345"/>
      <c r="F19" s="196"/>
      <c r="G19" s="344" t="s">
        <v>689</v>
      </c>
      <c r="H19" s="345"/>
      <c r="I19" s="194">
        <v>0</v>
      </c>
      <c r="J19" s="190"/>
    </row>
    <row r="20" spans="1:10" ht="15.3" customHeight="1" x14ac:dyDescent="0.25">
      <c r="A20" s="346" t="s">
        <v>690</v>
      </c>
      <c r="B20" s="347"/>
      <c r="C20" s="194">
        <f>SUM('Stavební rozpočet'!X12:X46)</f>
        <v>0</v>
      </c>
      <c r="D20" s="344"/>
      <c r="E20" s="345"/>
      <c r="F20" s="196"/>
      <c r="G20" s="344"/>
      <c r="H20" s="345"/>
      <c r="I20" s="196"/>
      <c r="J20" s="190"/>
    </row>
    <row r="21" spans="1:10" ht="15.3" customHeight="1" x14ac:dyDescent="0.25">
      <c r="A21" s="346" t="s">
        <v>691</v>
      </c>
      <c r="B21" s="347"/>
      <c r="C21" s="194">
        <f>SUM('Stavební rozpočet'!P12:P46)</f>
        <v>0</v>
      </c>
      <c r="D21" s="344"/>
      <c r="E21" s="345"/>
      <c r="F21" s="196"/>
      <c r="G21" s="344"/>
      <c r="H21" s="345"/>
      <c r="I21" s="196"/>
      <c r="J21" s="190"/>
    </row>
    <row r="22" spans="1:10" ht="16.8" customHeight="1" x14ac:dyDescent="0.25">
      <c r="A22" s="346" t="s">
        <v>692</v>
      </c>
      <c r="B22" s="347"/>
      <c r="C22" s="194">
        <f>SUM(C14:C21)</f>
        <v>0</v>
      </c>
      <c r="D22" s="346" t="s">
        <v>693</v>
      </c>
      <c r="E22" s="347"/>
      <c r="F22" s="194">
        <f>SUM(F14:F21)</f>
        <v>0</v>
      </c>
      <c r="G22" s="346" t="s">
        <v>694</v>
      </c>
      <c r="H22" s="347"/>
      <c r="I22" s="194">
        <f>SUM(I14:I21)</f>
        <v>0</v>
      </c>
      <c r="J22" s="190"/>
    </row>
    <row r="23" spans="1:10" ht="15.3" customHeight="1" thickBot="1" x14ac:dyDescent="0.3">
      <c r="A23" s="197"/>
      <c r="B23" s="197"/>
      <c r="C23" s="198"/>
      <c r="D23" s="346" t="s">
        <v>695</v>
      </c>
      <c r="E23" s="347"/>
      <c r="F23" s="199">
        <v>0</v>
      </c>
      <c r="G23" s="346" t="s">
        <v>696</v>
      </c>
      <c r="H23" s="347"/>
      <c r="I23" s="194">
        <v>0</v>
      </c>
      <c r="J23" s="190"/>
    </row>
    <row r="24" spans="1:10" ht="15.3" customHeight="1" x14ac:dyDescent="0.25">
      <c r="D24" s="197"/>
      <c r="E24" s="197"/>
      <c r="F24" s="200"/>
      <c r="G24" s="346" t="s">
        <v>697</v>
      </c>
      <c r="H24" s="347"/>
      <c r="I24" s="201"/>
    </row>
    <row r="25" spans="1:10" ht="15.3" customHeight="1" x14ac:dyDescent="0.25">
      <c r="F25" s="202"/>
      <c r="G25" s="346" t="s">
        <v>698</v>
      </c>
      <c r="H25" s="347"/>
      <c r="I25" s="194">
        <v>0</v>
      </c>
      <c r="J25" s="190"/>
    </row>
    <row r="26" spans="1:10" x14ac:dyDescent="0.25">
      <c r="A26" s="203"/>
      <c r="B26" s="203"/>
      <c r="C26" s="203"/>
      <c r="G26" s="197"/>
      <c r="H26" s="197"/>
      <c r="I26" s="197"/>
    </row>
    <row r="27" spans="1:10" ht="15.3" customHeight="1" x14ac:dyDescent="0.25">
      <c r="A27" s="348" t="s">
        <v>699</v>
      </c>
      <c r="B27" s="349"/>
      <c r="C27" s="204">
        <f>SUM('Stavební rozpočet'!Z12:Z46)</f>
        <v>0</v>
      </c>
      <c r="D27" s="205"/>
      <c r="E27" s="203"/>
      <c r="F27" s="203"/>
      <c r="G27" s="203"/>
      <c r="H27" s="203"/>
      <c r="I27" s="203"/>
    </row>
    <row r="28" spans="1:10" ht="15.3" customHeight="1" x14ac:dyDescent="0.25">
      <c r="A28" s="348" t="s">
        <v>700</v>
      </c>
      <c r="B28" s="349"/>
      <c r="C28" s="204">
        <f>SUM('Stavební rozpočet'!AA12:AA46)</f>
        <v>0</v>
      </c>
      <c r="D28" s="348" t="s">
        <v>701</v>
      </c>
      <c r="E28" s="349"/>
      <c r="F28" s="204">
        <f>ROUND(C28*(15/100),2)</f>
        <v>0</v>
      </c>
      <c r="G28" s="348" t="s">
        <v>702</v>
      </c>
      <c r="H28" s="349"/>
      <c r="I28" s="204">
        <f>SUM(C27:C29)</f>
        <v>0</v>
      </c>
      <c r="J28" s="190"/>
    </row>
    <row r="29" spans="1:10" ht="15.3" customHeight="1" x14ac:dyDescent="0.25">
      <c r="A29" s="348" t="s">
        <v>703</v>
      </c>
      <c r="B29" s="349"/>
      <c r="C29" s="204">
        <f>SUM('Stavební rozpočet'!AB12:AB46)+(F22+I22+F23+I23+I24+I25)</f>
        <v>0</v>
      </c>
      <c r="D29" s="348" t="s">
        <v>704</v>
      </c>
      <c r="E29" s="349"/>
      <c r="F29" s="204">
        <f>ROUND(C29*(21/100),2)</f>
        <v>0</v>
      </c>
      <c r="G29" s="348" t="s">
        <v>705</v>
      </c>
      <c r="H29" s="349"/>
      <c r="I29" s="204">
        <f>SUM(F28:F29)+I28</f>
        <v>0</v>
      </c>
      <c r="J29" s="190"/>
    </row>
    <row r="30" spans="1:10" ht="13.8" thickBot="1" x14ac:dyDescent="0.3">
      <c r="A30" s="206"/>
      <c r="B30" s="206"/>
      <c r="C30" s="206"/>
      <c r="D30" s="206"/>
      <c r="E30" s="206"/>
      <c r="F30" s="206"/>
      <c r="G30" s="206"/>
      <c r="H30" s="206"/>
      <c r="I30" s="206"/>
    </row>
    <row r="31" spans="1:10" ht="14.55" customHeight="1" x14ac:dyDescent="0.25">
      <c r="A31" s="350" t="s">
        <v>706</v>
      </c>
      <c r="B31" s="351"/>
      <c r="C31" s="352"/>
      <c r="D31" s="350" t="s">
        <v>707</v>
      </c>
      <c r="E31" s="351"/>
      <c r="F31" s="352"/>
      <c r="G31" s="350" t="s">
        <v>708</v>
      </c>
      <c r="H31" s="351"/>
      <c r="I31" s="352"/>
      <c r="J31" s="207"/>
    </row>
    <row r="32" spans="1:10" ht="14.55" customHeight="1" x14ac:dyDescent="0.25">
      <c r="A32" s="353"/>
      <c r="B32" s="354"/>
      <c r="C32" s="355"/>
      <c r="D32" s="353"/>
      <c r="E32" s="354"/>
      <c r="F32" s="355"/>
      <c r="G32" s="353"/>
      <c r="H32" s="354"/>
      <c r="I32" s="355"/>
      <c r="J32" s="207"/>
    </row>
    <row r="33" spans="1:10" ht="14.55" customHeight="1" x14ac:dyDescent="0.25">
      <c r="A33" s="353"/>
      <c r="B33" s="354"/>
      <c r="C33" s="355"/>
      <c r="D33" s="353"/>
      <c r="E33" s="354"/>
      <c r="F33" s="355"/>
      <c r="G33" s="353"/>
      <c r="H33" s="354"/>
      <c r="I33" s="355"/>
      <c r="J33" s="207"/>
    </row>
    <row r="34" spans="1:10" ht="14.55" customHeight="1" x14ac:dyDescent="0.25">
      <c r="A34" s="353"/>
      <c r="B34" s="354"/>
      <c r="C34" s="355"/>
      <c r="D34" s="353"/>
      <c r="E34" s="354"/>
      <c r="F34" s="355"/>
      <c r="G34" s="353"/>
      <c r="H34" s="354"/>
      <c r="I34" s="355"/>
      <c r="J34" s="207"/>
    </row>
    <row r="35" spans="1:10" ht="14.55" customHeight="1" thickBot="1" x14ac:dyDescent="0.3">
      <c r="A35" s="356" t="s">
        <v>709</v>
      </c>
      <c r="B35" s="357"/>
      <c r="C35" s="358"/>
      <c r="D35" s="356" t="s">
        <v>709</v>
      </c>
      <c r="E35" s="357"/>
      <c r="F35" s="358"/>
      <c r="G35" s="356" t="s">
        <v>709</v>
      </c>
      <c r="H35" s="357"/>
      <c r="I35" s="358"/>
      <c r="J35" s="207"/>
    </row>
    <row r="36" spans="1:10" ht="11.25" customHeight="1" x14ac:dyDescent="0.25">
      <c r="A36" s="208" t="s">
        <v>710</v>
      </c>
      <c r="B36" s="209"/>
      <c r="C36" s="209"/>
      <c r="D36" s="209"/>
      <c r="E36" s="209"/>
      <c r="F36" s="209"/>
      <c r="G36" s="209"/>
      <c r="H36" s="209"/>
      <c r="I36" s="209"/>
    </row>
    <row r="37" spans="1:10" ht="409.5" hidden="1" customHeight="1" x14ac:dyDescent="0.25">
      <c r="A37" s="333"/>
      <c r="B37" s="324"/>
      <c r="C37" s="324"/>
      <c r="D37" s="324"/>
      <c r="E37" s="324"/>
      <c r="F37" s="324"/>
      <c r="G37" s="324"/>
      <c r="H37" s="324"/>
      <c r="I37" s="324"/>
    </row>
  </sheetData>
  <sheetProtection algorithmName="SHA-512" hashValue="o/evnX/g2J05SlagDrnSFFPqZsNhfvvTq69xMcEPJvZpj6+53PGc0ZOp8FpV+tzmlwNbZghmrbgQ36H/H0SLtA==" saltValue="NBGYxEuXfkJZqHnZ+cFkr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49"/>
  <sheetViews>
    <sheetView zoomScale="70" zoomScaleNormal="70" workbookViewId="0">
      <selection activeCell="AN9" sqref="AN9"/>
    </sheetView>
  </sheetViews>
  <sheetFormatPr defaultColWidth="11.44140625" defaultRowHeight="13.2" x14ac:dyDescent="0.25"/>
  <cols>
    <col min="1" max="1" width="3.6640625" style="189" customWidth="1"/>
    <col min="2" max="2" width="6.77734375" style="189" customWidth="1"/>
    <col min="3" max="3" width="13.33203125" style="189" customWidth="1"/>
    <col min="4" max="4" width="62.77734375" style="189" customWidth="1"/>
    <col min="5" max="5" width="4.33203125" style="189" customWidth="1"/>
    <col min="6" max="6" width="10.77734375" style="189" customWidth="1"/>
    <col min="7" max="7" width="12" style="189" customWidth="1"/>
    <col min="8" max="10" width="14.33203125" style="189" customWidth="1"/>
    <col min="11" max="13" width="11.6640625" style="189" customWidth="1"/>
    <col min="14" max="37" width="12.109375" style="189" hidden="1" customWidth="1"/>
    <col min="38" max="256" width="11.44140625" style="189"/>
    <col min="257" max="257" width="3.6640625" style="189" customWidth="1"/>
    <col min="258" max="258" width="6.77734375" style="189" customWidth="1"/>
    <col min="259" max="259" width="13.33203125" style="189" customWidth="1"/>
    <col min="260" max="260" width="62.77734375" style="189" customWidth="1"/>
    <col min="261" max="261" width="4.33203125" style="189" customWidth="1"/>
    <col min="262" max="262" width="10.77734375" style="189" customWidth="1"/>
    <col min="263" max="263" width="12" style="189" customWidth="1"/>
    <col min="264" max="266" width="14.33203125" style="189" customWidth="1"/>
    <col min="267" max="269" width="11.6640625" style="189" customWidth="1"/>
    <col min="270" max="293" width="0" style="189" hidden="1" customWidth="1"/>
    <col min="294" max="512" width="11.44140625" style="189"/>
    <col min="513" max="513" width="3.6640625" style="189" customWidth="1"/>
    <col min="514" max="514" width="6.77734375" style="189" customWidth="1"/>
    <col min="515" max="515" width="13.33203125" style="189" customWidth="1"/>
    <col min="516" max="516" width="62.77734375" style="189" customWidth="1"/>
    <col min="517" max="517" width="4.33203125" style="189" customWidth="1"/>
    <col min="518" max="518" width="10.77734375" style="189" customWidth="1"/>
    <col min="519" max="519" width="12" style="189" customWidth="1"/>
    <col min="520" max="522" width="14.33203125" style="189" customWidth="1"/>
    <col min="523" max="525" width="11.6640625" style="189" customWidth="1"/>
    <col min="526" max="549" width="0" style="189" hidden="1" customWidth="1"/>
    <col min="550" max="768" width="11.44140625" style="189"/>
    <col min="769" max="769" width="3.6640625" style="189" customWidth="1"/>
    <col min="770" max="770" width="6.77734375" style="189" customWidth="1"/>
    <col min="771" max="771" width="13.33203125" style="189" customWidth="1"/>
    <col min="772" max="772" width="62.77734375" style="189" customWidth="1"/>
    <col min="773" max="773" width="4.33203125" style="189" customWidth="1"/>
    <col min="774" max="774" width="10.77734375" style="189" customWidth="1"/>
    <col min="775" max="775" width="12" style="189" customWidth="1"/>
    <col min="776" max="778" width="14.33203125" style="189" customWidth="1"/>
    <col min="779" max="781" width="11.6640625" style="189" customWidth="1"/>
    <col min="782" max="805" width="0" style="189" hidden="1" customWidth="1"/>
    <col min="806" max="1024" width="11.44140625" style="189"/>
    <col min="1025" max="1025" width="3.6640625" style="189" customWidth="1"/>
    <col min="1026" max="1026" width="6.77734375" style="189" customWidth="1"/>
    <col min="1027" max="1027" width="13.33203125" style="189" customWidth="1"/>
    <col min="1028" max="1028" width="62.77734375" style="189" customWidth="1"/>
    <col min="1029" max="1029" width="4.33203125" style="189" customWidth="1"/>
    <col min="1030" max="1030" width="10.77734375" style="189" customWidth="1"/>
    <col min="1031" max="1031" width="12" style="189" customWidth="1"/>
    <col min="1032" max="1034" width="14.33203125" style="189" customWidth="1"/>
    <col min="1035" max="1037" width="11.6640625" style="189" customWidth="1"/>
    <col min="1038" max="1061" width="0" style="189" hidden="1" customWidth="1"/>
    <col min="1062" max="1280" width="11.44140625" style="189"/>
    <col min="1281" max="1281" width="3.6640625" style="189" customWidth="1"/>
    <col min="1282" max="1282" width="6.77734375" style="189" customWidth="1"/>
    <col min="1283" max="1283" width="13.33203125" style="189" customWidth="1"/>
    <col min="1284" max="1284" width="62.77734375" style="189" customWidth="1"/>
    <col min="1285" max="1285" width="4.33203125" style="189" customWidth="1"/>
    <col min="1286" max="1286" width="10.77734375" style="189" customWidth="1"/>
    <col min="1287" max="1287" width="12" style="189" customWidth="1"/>
    <col min="1288" max="1290" width="14.33203125" style="189" customWidth="1"/>
    <col min="1291" max="1293" width="11.6640625" style="189" customWidth="1"/>
    <col min="1294" max="1317" width="0" style="189" hidden="1" customWidth="1"/>
    <col min="1318" max="1536" width="11.44140625" style="189"/>
    <col min="1537" max="1537" width="3.6640625" style="189" customWidth="1"/>
    <col min="1538" max="1538" width="6.77734375" style="189" customWidth="1"/>
    <col min="1539" max="1539" width="13.33203125" style="189" customWidth="1"/>
    <col min="1540" max="1540" width="62.77734375" style="189" customWidth="1"/>
    <col min="1541" max="1541" width="4.33203125" style="189" customWidth="1"/>
    <col min="1542" max="1542" width="10.77734375" style="189" customWidth="1"/>
    <col min="1543" max="1543" width="12" style="189" customWidth="1"/>
    <col min="1544" max="1546" width="14.33203125" style="189" customWidth="1"/>
    <col min="1547" max="1549" width="11.6640625" style="189" customWidth="1"/>
    <col min="1550" max="1573" width="0" style="189" hidden="1" customWidth="1"/>
    <col min="1574" max="1792" width="11.44140625" style="189"/>
    <col min="1793" max="1793" width="3.6640625" style="189" customWidth="1"/>
    <col min="1794" max="1794" width="6.77734375" style="189" customWidth="1"/>
    <col min="1795" max="1795" width="13.33203125" style="189" customWidth="1"/>
    <col min="1796" max="1796" width="62.77734375" style="189" customWidth="1"/>
    <col min="1797" max="1797" width="4.33203125" style="189" customWidth="1"/>
    <col min="1798" max="1798" width="10.77734375" style="189" customWidth="1"/>
    <col min="1799" max="1799" width="12" style="189" customWidth="1"/>
    <col min="1800" max="1802" width="14.33203125" style="189" customWidth="1"/>
    <col min="1803" max="1805" width="11.6640625" style="189" customWidth="1"/>
    <col min="1806" max="1829" width="0" style="189" hidden="1" customWidth="1"/>
    <col min="1830" max="2048" width="11.44140625" style="189"/>
    <col min="2049" max="2049" width="3.6640625" style="189" customWidth="1"/>
    <col min="2050" max="2050" width="6.77734375" style="189" customWidth="1"/>
    <col min="2051" max="2051" width="13.33203125" style="189" customWidth="1"/>
    <col min="2052" max="2052" width="62.77734375" style="189" customWidth="1"/>
    <col min="2053" max="2053" width="4.33203125" style="189" customWidth="1"/>
    <col min="2054" max="2054" width="10.77734375" style="189" customWidth="1"/>
    <col min="2055" max="2055" width="12" style="189" customWidth="1"/>
    <col min="2056" max="2058" width="14.33203125" style="189" customWidth="1"/>
    <col min="2059" max="2061" width="11.6640625" style="189" customWidth="1"/>
    <col min="2062" max="2085" width="0" style="189" hidden="1" customWidth="1"/>
    <col min="2086" max="2304" width="11.44140625" style="189"/>
    <col min="2305" max="2305" width="3.6640625" style="189" customWidth="1"/>
    <col min="2306" max="2306" width="6.77734375" style="189" customWidth="1"/>
    <col min="2307" max="2307" width="13.33203125" style="189" customWidth="1"/>
    <col min="2308" max="2308" width="62.77734375" style="189" customWidth="1"/>
    <col min="2309" max="2309" width="4.33203125" style="189" customWidth="1"/>
    <col min="2310" max="2310" width="10.77734375" style="189" customWidth="1"/>
    <col min="2311" max="2311" width="12" style="189" customWidth="1"/>
    <col min="2312" max="2314" width="14.33203125" style="189" customWidth="1"/>
    <col min="2315" max="2317" width="11.6640625" style="189" customWidth="1"/>
    <col min="2318" max="2341" width="0" style="189" hidden="1" customWidth="1"/>
    <col min="2342" max="2560" width="11.44140625" style="189"/>
    <col min="2561" max="2561" width="3.6640625" style="189" customWidth="1"/>
    <col min="2562" max="2562" width="6.77734375" style="189" customWidth="1"/>
    <col min="2563" max="2563" width="13.33203125" style="189" customWidth="1"/>
    <col min="2564" max="2564" width="62.77734375" style="189" customWidth="1"/>
    <col min="2565" max="2565" width="4.33203125" style="189" customWidth="1"/>
    <col min="2566" max="2566" width="10.77734375" style="189" customWidth="1"/>
    <col min="2567" max="2567" width="12" style="189" customWidth="1"/>
    <col min="2568" max="2570" width="14.33203125" style="189" customWidth="1"/>
    <col min="2571" max="2573" width="11.6640625" style="189" customWidth="1"/>
    <col min="2574" max="2597" width="0" style="189" hidden="1" customWidth="1"/>
    <col min="2598" max="2816" width="11.44140625" style="189"/>
    <col min="2817" max="2817" width="3.6640625" style="189" customWidth="1"/>
    <col min="2818" max="2818" width="6.77734375" style="189" customWidth="1"/>
    <col min="2819" max="2819" width="13.33203125" style="189" customWidth="1"/>
    <col min="2820" max="2820" width="62.77734375" style="189" customWidth="1"/>
    <col min="2821" max="2821" width="4.33203125" style="189" customWidth="1"/>
    <col min="2822" max="2822" width="10.77734375" style="189" customWidth="1"/>
    <col min="2823" max="2823" width="12" style="189" customWidth="1"/>
    <col min="2824" max="2826" width="14.33203125" style="189" customWidth="1"/>
    <col min="2827" max="2829" width="11.6640625" style="189" customWidth="1"/>
    <col min="2830" max="2853" width="0" style="189" hidden="1" customWidth="1"/>
    <col min="2854" max="3072" width="11.44140625" style="189"/>
    <col min="3073" max="3073" width="3.6640625" style="189" customWidth="1"/>
    <col min="3074" max="3074" width="6.77734375" style="189" customWidth="1"/>
    <col min="3075" max="3075" width="13.33203125" style="189" customWidth="1"/>
    <col min="3076" max="3076" width="62.77734375" style="189" customWidth="1"/>
    <col min="3077" max="3077" width="4.33203125" style="189" customWidth="1"/>
    <col min="3078" max="3078" width="10.77734375" style="189" customWidth="1"/>
    <col min="3079" max="3079" width="12" style="189" customWidth="1"/>
    <col min="3080" max="3082" width="14.33203125" style="189" customWidth="1"/>
    <col min="3083" max="3085" width="11.6640625" style="189" customWidth="1"/>
    <col min="3086" max="3109" width="0" style="189" hidden="1" customWidth="1"/>
    <col min="3110" max="3328" width="11.44140625" style="189"/>
    <col min="3329" max="3329" width="3.6640625" style="189" customWidth="1"/>
    <col min="3330" max="3330" width="6.77734375" style="189" customWidth="1"/>
    <col min="3331" max="3331" width="13.33203125" style="189" customWidth="1"/>
    <col min="3332" max="3332" width="62.77734375" style="189" customWidth="1"/>
    <col min="3333" max="3333" width="4.33203125" style="189" customWidth="1"/>
    <col min="3334" max="3334" width="10.77734375" style="189" customWidth="1"/>
    <col min="3335" max="3335" width="12" style="189" customWidth="1"/>
    <col min="3336" max="3338" width="14.33203125" style="189" customWidth="1"/>
    <col min="3339" max="3341" width="11.6640625" style="189" customWidth="1"/>
    <col min="3342" max="3365" width="0" style="189" hidden="1" customWidth="1"/>
    <col min="3366" max="3584" width="11.44140625" style="189"/>
    <col min="3585" max="3585" width="3.6640625" style="189" customWidth="1"/>
    <col min="3586" max="3586" width="6.77734375" style="189" customWidth="1"/>
    <col min="3587" max="3587" width="13.33203125" style="189" customWidth="1"/>
    <col min="3588" max="3588" width="62.77734375" style="189" customWidth="1"/>
    <col min="3589" max="3589" width="4.33203125" style="189" customWidth="1"/>
    <col min="3590" max="3590" width="10.77734375" style="189" customWidth="1"/>
    <col min="3591" max="3591" width="12" style="189" customWidth="1"/>
    <col min="3592" max="3594" width="14.33203125" style="189" customWidth="1"/>
    <col min="3595" max="3597" width="11.6640625" style="189" customWidth="1"/>
    <col min="3598" max="3621" width="0" style="189" hidden="1" customWidth="1"/>
    <col min="3622" max="3840" width="11.44140625" style="189"/>
    <col min="3841" max="3841" width="3.6640625" style="189" customWidth="1"/>
    <col min="3842" max="3842" width="6.77734375" style="189" customWidth="1"/>
    <col min="3843" max="3843" width="13.33203125" style="189" customWidth="1"/>
    <col min="3844" max="3844" width="62.77734375" style="189" customWidth="1"/>
    <col min="3845" max="3845" width="4.33203125" style="189" customWidth="1"/>
    <col min="3846" max="3846" width="10.77734375" style="189" customWidth="1"/>
    <col min="3847" max="3847" width="12" style="189" customWidth="1"/>
    <col min="3848" max="3850" width="14.33203125" style="189" customWidth="1"/>
    <col min="3851" max="3853" width="11.6640625" style="189" customWidth="1"/>
    <col min="3854" max="3877" width="0" style="189" hidden="1" customWidth="1"/>
    <col min="3878" max="4096" width="11.44140625" style="189"/>
    <col min="4097" max="4097" width="3.6640625" style="189" customWidth="1"/>
    <col min="4098" max="4098" width="6.77734375" style="189" customWidth="1"/>
    <col min="4099" max="4099" width="13.33203125" style="189" customWidth="1"/>
    <col min="4100" max="4100" width="62.77734375" style="189" customWidth="1"/>
    <col min="4101" max="4101" width="4.33203125" style="189" customWidth="1"/>
    <col min="4102" max="4102" width="10.77734375" style="189" customWidth="1"/>
    <col min="4103" max="4103" width="12" style="189" customWidth="1"/>
    <col min="4104" max="4106" width="14.33203125" style="189" customWidth="1"/>
    <col min="4107" max="4109" width="11.6640625" style="189" customWidth="1"/>
    <col min="4110" max="4133" width="0" style="189" hidden="1" customWidth="1"/>
    <col min="4134" max="4352" width="11.44140625" style="189"/>
    <col min="4353" max="4353" width="3.6640625" style="189" customWidth="1"/>
    <col min="4354" max="4354" width="6.77734375" style="189" customWidth="1"/>
    <col min="4355" max="4355" width="13.33203125" style="189" customWidth="1"/>
    <col min="4356" max="4356" width="62.77734375" style="189" customWidth="1"/>
    <col min="4357" max="4357" width="4.33203125" style="189" customWidth="1"/>
    <col min="4358" max="4358" width="10.77734375" style="189" customWidth="1"/>
    <col min="4359" max="4359" width="12" style="189" customWidth="1"/>
    <col min="4360" max="4362" width="14.33203125" style="189" customWidth="1"/>
    <col min="4363" max="4365" width="11.6640625" style="189" customWidth="1"/>
    <col min="4366" max="4389" width="0" style="189" hidden="1" customWidth="1"/>
    <col min="4390" max="4608" width="11.44140625" style="189"/>
    <col min="4609" max="4609" width="3.6640625" style="189" customWidth="1"/>
    <col min="4610" max="4610" width="6.77734375" style="189" customWidth="1"/>
    <col min="4611" max="4611" width="13.33203125" style="189" customWidth="1"/>
    <col min="4612" max="4612" width="62.77734375" style="189" customWidth="1"/>
    <col min="4613" max="4613" width="4.33203125" style="189" customWidth="1"/>
    <col min="4614" max="4614" width="10.77734375" style="189" customWidth="1"/>
    <col min="4615" max="4615" width="12" style="189" customWidth="1"/>
    <col min="4616" max="4618" width="14.33203125" style="189" customWidth="1"/>
    <col min="4619" max="4621" width="11.6640625" style="189" customWidth="1"/>
    <col min="4622" max="4645" width="0" style="189" hidden="1" customWidth="1"/>
    <col min="4646" max="4864" width="11.44140625" style="189"/>
    <col min="4865" max="4865" width="3.6640625" style="189" customWidth="1"/>
    <col min="4866" max="4866" width="6.77734375" style="189" customWidth="1"/>
    <col min="4867" max="4867" width="13.33203125" style="189" customWidth="1"/>
    <col min="4868" max="4868" width="62.77734375" style="189" customWidth="1"/>
    <col min="4869" max="4869" width="4.33203125" style="189" customWidth="1"/>
    <col min="4870" max="4870" width="10.77734375" style="189" customWidth="1"/>
    <col min="4871" max="4871" width="12" style="189" customWidth="1"/>
    <col min="4872" max="4874" width="14.33203125" style="189" customWidth="1"/>
    <col min="4875" max="4877" width="11.6640625" style="189" customWidth="1"/>
    <col min="4878" max="4901" width="0" style="189" hidden="1" customWidth="1"/>
    <col min="4902" max="5120" width="11.44140625" style="189"/>
    <col min="5121" max="5121" width="3.6640625" style="189" customWidth="1"/>
    <col min="5122" max="5122" width="6.77734375" style="189" customWidth="1"/>
    <col min="5123" max="5123" width="13.33203125" style="189" customWidth="1"/>
    <col min="5124" max="5124" width="62.77734375" style="189" customWidth="1"/>
    <col min="5125" max="5125" width="4.33203125" style="189" customWidth="1"/>
    <col min="5126" max="5126" width="10.77734375" style="189" customWidth="1"/>
    <col min="5127" max="5127" width="12" style="189" customWidth="1"/>
    <col min="5128" max="5130" width="14.33203125" style="189" customWidth="1"/>
    <col min="5131" max="5133" width="11.6640625" style="189" customWidth="1"/>
    <col min="5134" max="5157" width="0" style="189" hidden="1" customWidth="1"/>
    <col min="5158" max="5376" width="11.44140625" style="189"/>
    <col min="5377" max="5377" width="3.6640625" style="189" customWidth="1"/>
    <col min="5378" max="5378" width="6.77734375" style="189" customWidth="1"/>
    <col min="5379" max="5379" width="13.33203125" style="189" customWidth="1"/>
    <col min="5380" max="5380" width="62.77734375" style="189" customWidth="1"/>
    <col min="5381" max="5381" width="4.33203125" style="189" customWidth="1"/>
    <col min="5382" max="5382" width="10.77734375" style="189" customWidth="1"/>
    <col min="5383" max="5383" width="12" style="189" customWidth="1"/>
    <col min="5384" max="5386" width="14.33203125" style="189" customWidth="1"/>
    <col min="5387" max="5389" width="11.6640625" style="189" customWidth="1"/>
    <col min="5390" max="5413" width="0" style="189" hidden="1" customWidth="1"/>
    <col min="5414" max="5632" width="11.44140625" style="189"/>
    <col min="5633" max="5633" width="3.6640625" style="189" customWidth="1"/>
    <col min="5634" max="5634" width="6.77734375" style="189" customWidth="1"/>
    <col min="5635" max="5635" width="13.33203125" style="189" customWidth="1"/>
    <col min="5636" max="5636" width="62.77734375" style="189" customWidth="1"/>
    <col min="5637" max="5637" width="4.33203125" style="189" customWidth="1"/>
    <col min="5638" max="5638" width="10.77734375" style="189" customWidth="1"/>
    <col min="5639" max="5639" width="12" style="189" customWidth="1"/>
    <col min="5640" max="5642" width="14.33203125" style="189" customWidth="1"/>
    <col min="5643" max="5645" width="11.6640625" style="189" customWidth="1"/>
    <col min="5646" max="5669" width="0" style="189" hidden="1" customWidth="1"/>
    <col min="5670" max="5888" width="11.44140625" style="189"/>
    <col min="5889" max="5889" width="3.6640625" style="189" customWidth="1"/>
    <col min="5890" max="5890" width="6.77734375" style="189" customWidth="1"/>
    <col min="5891" max="5891" width="13.33203125" style="189" customWidth="1"/>
    <col min="5892" max="5892" width="62.77734375" style="189" customWidth="1"/>
    <col min="5893" max="5893" width="4.33203125" style="189" customWidth="1"/>
    <col min="5894" max="5894" width="10.77734375" style="189" customWidth="1"/>
    <col min="5895" max="5895" width="12" style="189" customWidth="1"/>
    <col min="5896" max="5898" width="14.33203125" style="189" customWidth="1"/>
    <col min="5899" max="5901" width="11.6640625" style="189" customWidth="1"/>
    <col min="5902" max="5925" width="0" style="189" hidden="1" customWidth="1"/>
    <col min="5926" max="6144" width="11.44140625" style="189"/>
    <col min="6145" max="6145" width="3.6640625" style="189" customWidth="1"/>
    <col min="6146" max="6146" width="6.77734375" style="189" customWidth="1"/>
    <col min="6147" max="6147" width="13.33203125" style="189" customWidth="1"/>
    <col min="6148" max="6148" width="62.77734375" style="189" customWidth="1"/>
    <col min="6149" max="6149" width="4.33203125" style="189" customWidth="1"/>
    <col min="6150" max="6150" width="10.77734375" style="189" customWidth="1"/>
    <col min="6151" max="6151" width="12" style="189" customWidth="1"/>
    <col min="6152" max="6154" width="14.33203125" style="189" customWidth="1"/>
    <col min="6155" max="6157" width="11.6640625" style="189" customWidth="1"/>
    <col min="6158" max="6181" width="0" style="189" hidden="1" customWidth="1"/>
    <col min="6182" max="6400" width="11.44140625" style="189"/>
    <col min="6401" max="6401" width="3.6640625" style="189" customWidth="1"/>
    <col min="6402" max="6402" width="6.77734375" style="189" customWidth="1"/>
    <col min="6403" max="6403" width="13.33203125" style="189" customWidth="1"/>
    <col min="6404" max="6404" width="62.77734375" style="189" customWidth="1"/>
    <col min="6405" max="6405" width="4.33203125" style="189" customWidth="1"/>
    <col min="6406" max="6406" width="10.77734375" style="189" customWidth="1"/>
    <col min="6407" max="6407" width="12" style="189" customWidth="1"/>
    <col min="6408" max="6410" width="14.33203125" style="189" customWidth="1"/>
    <col min="6411" max="6413" width="11.6640625" style="189" customWidth="1"/>
    <col min="6414" max="6437" width="0" style="189" hidden="1" customWidth="1"/>
    <col min="6438" max="6656" width="11.44140625" style="189"/>
    <col min="6657" max="6657" width="3.6640625" style="189" customWidth="1"/>
    <col min="6658" max="6658" width="6.77734375" style="189" customWidth="1"/>
    <col min="6659" max="6659" width="13.33203125" style="189" customWidth="1"/>
    <col min="6660" max="6660" width="62.77734375" style="189" customWidth="1"/>
    <col min="6661" max="6661" width="4.33203125" style="189" customWidth="1"/>
    <col min="6662" max="6662" width="10.77734375" style="189" customWidth="1"/>
    <col min="6663" max="6663" width="12" style="189" customWidth="1"/>
    <col min="6664" max="6666" width="14.33203125" style="189" customWidth="1"/>
    <col min="6667" max="6669" width="11.6640625" style="189" customWidth="1"/>
    <col min="6670" max="6693" width="0" style="189" hidden="1" customWidth="1"/>
    <col min="6694" max="6912" width="11.44140625" style="189"/>
    <col min="6913" max="6913" width="3.6640625" style="189" customWidth="1"/>
    <col min="6914" max="6914" width="6.77734375" style="189" customWidth="1"/>
    <col min="6915" max="6915" width="13.33203125" style="189" customWidth="1"/>
    <col min="6916" max="6916" width="62.77734375" style="189" customWidth="1"/>
    <col min="6917" max="6917" width="4.33203125" style="189" customWidth="1"/>
    <col min="6918" max="6918" width="10.77734375" style="189" customWidth="1"/>
    <col min="6919" max="6919" width="12" style="189" customWidth="1"/>
    <col min="6920" max="6922" width="14.33203125" style="189" customWidth="1"/>
    <col min="6923" max="6925" width="11.6640625" style="189" customWidth="1"/>
    <col min="6926" max="6949" width="0" style="189" hidden="1" customWidth="1"/>
    <col min="6950" max="7168" width="11.44140625" style="189"/>
    <col min="7169" max="7169" width="3.6640625" style="189" customWidth="1"/>
    <col min="7170" max="7170" width="6.77734375" style="189" customWidth="1"/>
    <col min="7171" max="7171" width="13.33203125" style="189" customWidth="1"/>
    <col min="7172" max="7172" width="62.77734375" style="189" customWidth="1"/>
    <col min="7173" max="7173" width="4.33203125" style="189" customWidth="1"/>
    <col min="7174" max="7174" width="10.77734375" style="189" customWidth="1"/>
    <col min="7175" max="7175" width="12" style="189" customWidth="1"/>
    <col min="7176" max="7178" width="14.33203125" style="189" customWidth="1"/>
    <col min="7179" max="7181" width="11.6640625" style="189" customWidth="1"/>
    <col min="7182" max="7205" width="0" style="189" hidden="1" customWidth="1"/>
    <col min="7206" max="7424" width="11.44140625" style="189"/>
    <col min="7425" max="7425" width="3.6640625" style="189" customWidth="1"/>
    <col min="7426" max="7426" width="6.77734375" style="189" customWidth="1"/>
    <col min="7427" max="7427" width="13.33203125" style="189" customWidth="1"/>
    <col min="7428" max="7428" width="62.77734375" style="189" customWidth="1"/>
    <col min="7429" max="7429" width="4.33203125" style="189" customWidth="1"/>
    <col min="7430" max="7430" width="10.77734375" style="189" customWidth="1"/>
    <col min="7431" max="7431" width="12" style="189" customWidth="1"/>
    <col min="7432" max="7434" width="14.33203125" style="189" customWidth="1"/>
    <col min="7435" max="7437" width="11.6640625" style="189" customWidth="1"/>
    <col min="7438" max="7461" width="0" style="189" hidden="1" customWidth="1"/>
    <col min="7462" max="7680" width="11.44140625" style="189"/>
    <col min="7681" max="7681" width="3.6640625" style="189" customWidth="1"/>
    <col min="7682" max="7682" width="6.77734375" style="189" customWidth="1"/>
    <col min="7683" max="7683" width="13.33203125" style="189" customWidth="1"/>
    <col min="7684" max="7684" width="62.77734375" style="189" customWidth="1"/>
    <col min="7685" max="7685" width="4.33203125" style="189" customWidth="1"/>
    <col min="7686" max="7686" width="10.77734375" style="189" customWidth="1"/>
    <col min="7687" max="7687" width="12" style="189" customWidth="1"/>
    <col min="7688" max="7690" width="14.33203125" style="189" customWidth="1"/>
    <col min="7691" max="7693" width="11.6640625" style="189" customWidth="1"/>
    <col min="7694" max="7717" width="0" style="189" hidden="1" customWidth="1"/>
    <col min="7718" max="7936" width="11.44140625" style="189"/>
    <col min="7937" max="7937" width="3.6640625" style="189" customWidth="1"/>
    <col min="7938" max="7938" width="6.77734375" style="189" customWidth="1"/>
    <col min="7939" max="7939" width="13.33203125" style="189" customWidth="1"/>
    <col min="7940" max="7940" width="62.77734375" style="189" customWidth="1"/>
    <col min="7941" max="7941" width="4.33203125" style="189" customWidth="1"/>
    <col min="7942" max="7942" width="10.77734375" style="189" customWidth="1"/>
    <col min="7943" max="7943" width="12" style="189" customWidth="1"/>
    <col min="7944" max="7946" width="14.33203125" style="189" customWidth="1"/>
    <col min="7947" max="7949" width="11.6640625" style="189" customWidth="1"/>
    <col min="7950" max="7973" width="0" style="189" hidden="1" customWidth="1"/>
    <col min="7974" max="8192" width="11.44140625" style="189"/>
    <col min="8193" max="8193" width="3.6640625" style="189" customWidth="1"/>
    <col min="8194" max="8194" width="6.77734375" style="189" customWidth="1"/>
    <col min="8195" max="8195" width="13.33203125" style="189" customWidth="1"/>
    <col min="8196" max="8196" width="62.77734375" style="189" customWidth="1"/>
    <col min="8197" max="8197" width="4.33203125" style="189" customWidth="1"/>
    <col min="8198" max="8198" width="10.77734375" style="189" customWidth="1"/>
    <col min="8199" max="8199" width="12" style="189" customWidth="1"/>
    <col min="8200" max="8202" width="14.33203125" style="189" customWidth="1"/>
    <col min="8203" max="8205" width="11.6640625" style="189" customWidth="1"/>
    <col min="8206" max="8229" width="0" style="189" hidden="1" customWidth="1"/>
    <col min="8230" max="8448" width="11.44140625" style="189"/>
    <col min="8449" max="8449" width="3.6640625" style="189" customWidth="1"/>
    <col min="8450" max="8450" width="6.77734375" style="189" customWidth="1"/>
    <col min="8451" max="8451" width="13.33203125" style="189" customWidth="1"/>
    <col min="8452" max="8452" width="62.77734375" style="189" customWidth="1"/>
    <col min="8453" max="8453" width="4.33203125" style="189" customWidth="1"/>
    <col min="8454" max="8454" width="10.77734375" style="189" customWidth="1"/>
    <col min="8455" max="8455" width="12" style="189" customWidth="1"/>
    <col min="8456" max="8458" width="14.33203125" style="189" customWidth="1"/>
    <col min="8459" max="8461" width="11.6640625" style="189" customWidth="1"/>
    <col min="8462" max="8485" width="0" style="189" hidden="1" customWidth="1"/>
    <col min="8486" max="8704" width="11.44140625" style="189"/>
    <col min="8705" max="8705" width="3.6640625" style="189" customWidth="1"/>
    <col min="8706" max="8706" width="6.77734375" style="189" customWidth="1"/>
    <col min="8707" max="8707" width="13.33203125" style="189" customWidth="1"/>
    <col min="8708" max="8708" width="62.77734375" style="189" customWidth="1"/>
    <col min="8709" max="8709" width="4.33203125" style="189" customWidth="1"/>
    <col min="8710" max="8710" width="10.77734375" style="189" customWidth="1"/>
    <col min="8711" max="8711" width="12" style="189" customWidth="1"/>
    <col min="8712" max="8714" width="14.33203125" style="189" customWidth="1"/>
    <col min="8715" max="8717" width="11.6640625" style="189" customWidth="1"/>
    <col min="8718" max="8741" width="0" style="189" hidden="1" customWidth="1"/>
    <col min="8742" max="8960" width="11.44140625" style="189"/>
    <col min="8961" max="8961" width="3.6640625" style="189" customWidth="1"/>
    <col min="8962" max="8962" width="6.77734375" style="189" customWidth="1"/>
    <col min="8963" max="8963" width="13.33203125" style="189" customWidth="1"/>
    <col min="8964" max="8964" width="62.77734375" style="189" customWidth="1"/>
    <col min="8965" max="8965" width="4.33203125" style="189" customWidth="1"/>
    <col min="8966" max="8966" width="10.77734375" style="189" customWidth="1"/>
    <col min="8967" max="8967" width="12" style="189" customWidth="1"/>
    <col min="8968" max="8970" width="14.33203125" style="189" customWidth="1"/>
    <col min="8971" max="8973" width="11.6640625" style="189" customWidth="1"/>
    <col min="8974" max="8997" width="0" style="189" hidden="1" customWidth="1"/>
    <col min="8998" max="9216" width="11.44140625" style="189"/>
    <col min="9217" max="9217" width="3.6640625" style="189" customWidth="1"/>
    <col min="9218" max="9218" width="6.77734375" style="189" customWidth="1"/>
    <col min="9219" max="9219" width="13.33203125" style="189" customWidth="1"/>
    <col min="9220" max="9220" width="62.77734375" style="189" customWidth="1"/>
    <col min="9221" max="9221" width="4.33203125" style="189" customWidth="1"/>
    <col min="9222" max="9222" width="10.77734375" style="189" customWidth="1"/>
    <col min="9223" max="9223" width="12" style="189" customWidth="1"/>
    <col min="9224" max="9226" width="14.33203125" style="189" customWidth="1"/>
    <col min="9227" max="9229" width="11.6640625" style="189" customWidth="1"/>
    <col min="9230" max="9253" width="0" style="189" hidden="1" customWidth="1"/>
    <col min="9254" max="9472" width="11.44140625" style="189"/>
    <col min="9473" max="9473" width="3.6640625" style="189" customWidth="1"/>
    <col min="9474" max="9474" width="6.77734375" style="189" customWidth="1"/>
    <col min="9475" max="9475" width="13.33203125" style="189" customWidth="1"/>
    <col min="9476" max="9476" width="62.77734375" style="189" customWidth="1"/>
    <col min="9477" max="9477" width="4.33203125" style="189" customWidth="1"/>
    <col min="9478" max="9478" width="10.77734375" style="189" customWidth="1"/>
    <col min="9479" max="9479" width="12" style="189" customWidth="1"/>
    <col min="9480" max="9482" width="14.33203125" style="189" customWidth="1"/>
    <col min="9483" max="9485" width="11.6640625" style="189" customWidth="1"/>
    <col min="9486" max="9509" width="0" style="189" hidden="1" customWidth="1"/>
    <col min="9510" max="9728" width="11.44140625" style="189"/>
    <col min="9729" max="9729" width="3.6640625" style="189" customWidth="1"/>
    <col min="9730" max="9730" width="6.77734375" style="189" customWidth="1"/>
    <col min="9731" max="9731" width="13.33203125" style="189" customWidth="1"/>
    <col min="9732" max="9732" width="62.77734375" style="189" customWidth="1"/>
    <col min="9733" max="9733" width="4.33203125" style="189" customWidth="1"/>
    <col min="9734" max="9734" width="10.77734375" style="189" customWidth="1"/>
    <col min="9735" max="9735" width="12" style="189" customWidth="1"/>
    <col min="9736" max="9738" width="14.33203125" style="189" customWidth="1"/>
    <col min="9739" max="9741" width="11.6640625" style="189" customWidth="1"/>
    <col min="9742" max="9765" width="0" style="189" hidden="1" customWidth="1"/>
    <col min="9766" max="9984" width="11.44140625" style="189"/>
    <col min="9985" max="9985" width="3.6640625" style="189" customWidth="1"/>
    <col min="9986" max="9986" width="6.77734375" style="189" customWidth="1"/>
    <col min="9987" max="9987" width="13.33203125" style="189" customWidth="1"/>
    <col min="9988" max="9988" width="62.77734375" style="189" customWidth="1"/>
    <col min="9989" max="9989" width="4.33203125" style="189" customWidth="1"/>
    <col min="9990" max="9990" width="10.77734375" style="189" customWidth="1"/>
    <col min="9991" max="9991" width="12" style="189" customWidth="1"/>
    <col min="9992" max="9994" width="14.33203125" style="189" customWidth="1"/>
    <col min="9995" max="9997" width="11.6640625" style="189" customWidth="1"/>
    <col min="9998" max="10021" width="0" style="189" hidden="1" customWidth="1"/>
    <col min="10022" max="10240" width="11.44140625" style="189"/>
    <col min="10241" max="10241" width="3.6640625" style="189" customWidth="1"/>
    <col min="10242" max="10242" width="6.77734375" style="189" customWidth="1"/>
    <col min="10243" max="10243" width="13.33203125" style="189" customWidth="1"/>
    <col min="10244" max="10244" width="62.77734375" style="189" customWidth="1"/>
    <col min="10245" max="10245" width="4.33203125" style="189" customWidth="1"/>
    <col min="10246" max="10246" width="10.77734375" style="189" customWidth="1"/>
    <col min="10247" max="10247" width="12" style="189" customWidth="1"/>
    <col min="10248" max="10250" width="14.33203125" style="189" customWidth="1"/>
    <col min="10251" max="10253" width="11.6640625" style="189" customWidth="1"/>
    <col min="10254" max="10277" width="0" style="189" hidden="1" customWidth="1"/>
    <col min="10278" max="10496" width="11.44140625" style="189"/>
    <col min="10497" max="10497" width="3.6640625" style="189" customWidth="1"/>
    <col min="10498" max="10498" width="6.77734375" style="189" customWidth="1"/>
    <col min="10499" max="10499" width="13.33203125" style="189" customWidth="1"/>
    <col min="10500" max="10500" width="62.77734375" style="189" customWidth="1"/>
    <col min="10501" max="10501" width="4.33203125" style="189" customWidth="1"/>
    <col min="10502" max="10502" width="10.77734375" style="189" customWidth="1"/>
    <col min="10503" max="10503" width="12" style="189" customWidth="1"/>
    <col min="10504" max="10506" width="14.33203125" style="189" customWidth="1"/>
    <col min="10507" max="10509" width="11.6640625" style="189" customWidth="1"/>
    <col min="10510" max="10533" width="0" style="189" hidden="1" customWidth="1"/>
    <col min="10534" max="10752" width="11.44140625" style="189"/>
    <col min="10753" max="10753" width="3.6640625" style="189" customWidth="1"/>
    <col min="10754" max="10754" width="6.77734375" style="189" customWidth="1"/>
    <col min="10755" max="10755" width="13.33203125" style="189" customWidth="1"/>
    <col min="10756" max="10756" width="62.77734375" style="189" customWidth="1"/>
    <col min="10757" max="10757" width="4.33203125" style="189" customWidth="1"/>
    <col min="10758" max="10758" width="10.77734375" style="189" customWidth="1"/>
    <col min="10759" max="10759" width="12" style="189" customWidth="1"/>
    <col min="10760" max="10762" width="14.33203125" style="189" customWidth="1"/>
    <col min="10763" max="10765" width="11.6640625" style="189" customWidth="1"/>
    <col min="10766" max="10789" width="0" style="189" hidden="1" customWidth="1"/>
    <col min="10790" max="11008" width="11.44140625" style="189"/>
    <col min="11009" max="11009" width="3.6640625" style="189" customWidth="1"/>
    <col min="11010" max="11010" width="6.77734375" style="189" customWidth="1"/>
    <col min="11011" max="11011" width="13.33203125" style="189" customWidth="1"/>
    <col min="11012" max="11012" width="62.77734375" style="189" customWidth="1"/>
    <col min="11013" max="11013" width="4.33203125" style="189" customWidth="1"/>
    <col min="11014" max="11014" width="10.77734375" style="189" customWidth="1"/>
    <col min="11015" max="11015" width="12" style="189" customWidth="1"/>
    <col min="11016" max="11018" width="14.33203125" style="189" customWidth="1"/>
    <col min="11019" max="11021" width="11.6640625" style="189" customWidth="1"/>
    <col min="11022" max="11045" width="0" style="189" hidden="1" customWidth="1"/>
    <col min="11046" max="11264" width="11.44140625" style="189"/>
    <col min="11265" max="11265" width="3.6640625" style="189" customWidth="1"/>
    <col min="11266" max="11266" width="6.77734375" style="189" customWidth="1"/>
    <col min="11267" max="11267" width="13.33203125" style="189" customWidth="1"/>
    <col min="11268" max="11268" width="62.77734375" style="189" customWidth="1"/>
    <col min="11269" max="11269" width="4.33203125" style="189" customWidth="1"/>
    <col min="11270" max="11270" width="10.77734375" style="189" customWidth="1"/>
    <col min="11271" max="11271" width="12" style="189" customWidth="1"/>
    <col min="11272" max="11274" width="14.33203125" style="189" customWidth="1"/>
    <col min="11275" max="11277" width="11.6640625" style="189" customWidth="1"/>
    <col min="11278" max="11301" width="0" style="189" hidden="1" customWidth="1"/>
    <col min="11302" max="11520" width="11.44140625" style="189"/>
    <col min="11521" max="11521" width="3.6640625" style="189" customWidth="1"/>
    <col min="11522" max="11522" width="6.77734375" style="189" customWidth="1"/>
    <col min="11523" max="11523" width="13.33203125" style="189" customWidth="1"/>
    <col min="11524" max="11524" width="62.77734375" style="189" customWidth="1"/>
    <col min="11525" max="11525" width="4.33203125" style="189" customWidth="1"/>
    <col min="11526" max="11526" width="10.77734375" style="189" customWidth="1"/>
    <col min="11527" max="11527" width="12" style="189" customWidth="1"/>
    <col min="11528" max="11530" width="14.33203125" style="189" customWidth="1"/>
    <col min="11531" max="11533" width="11.6640625" style="189" customWidth="1"/>
    <col min="11534" max="11557" width="0" style="189" hidden="1" customWidth="1"/>
    <col min="11558" max="11776" width="11.44140625" style="189"/>
    <col min="11777" max="11777" width="3.6640625" style="189" customWidth="1"/>
    <col min="11778" max="11778" width="6.77734375" style="189" customWidth="1"/>
    <col min="11779" max="11779" width="13.33203125" style="189" customWidth="1"/>
    <col min="11780" max="11780" width="62.77734375" style="189" customWidth="1"/>
    <col min="11781" max="11781" width="4.33203125" style="189" customWidth="1"/>
    <col min="11782" max="11782" width="10.77734375" style="189" customWidth="1"/>
    <col min="11783" max="11783" width="12" style="189" customWidth="1"/>
    <col min="11784" max="11786" width="14.33203125" style="189" customWidth="1"/>
    <col min="11787" max="11789" width="11.6640625" style="189" customWidth="1"/>
    <col min="11790" max="11813" width="0" style="189" hidden="1" customWidth="1"/>
    <col min="11814" max="12032" width="11.44140625" style="189"/>
    <col min="12033" max="12033" width="3.6640625" style="189" customWidth="1"/>
    <col min="12034" max="12034" width="6.77734375" style="189" customWidth="1"/>
    <col min="12035" max="12035" width="13.33203125" style="189" customWidth="1"/>
    <col min="12036" max="12036" width="62.77734375" style="189" customWidth="1"/>
    <col min="12037" max="12037" width="4.33203125" style="189" customWidth="1"/>
    <col min="12038" max="12038" width="10.77734375" style="189" customWidth="1"/>
    <col min="12039" max="12039" width="12" style="189" customWidth="1"/>
    <col min="12040" max="12042" width="14.33203125" style="189" customWidth="1"/>
    <col min="12043" max="12045" width="11.6640625" style="189" customWidth="1"/>
    <col min="12046" max="12069" width="0" style="189" hidden="1" customWidth="1"/>
    <col min="12070" max="12288" width="11.44140625" style="189"/>
    <col min="12289" max="12289" width="3.6640625" style="189" customWidth="1"/>
    <col min="12290" max="12290" width="6.77734375" style="189" customWidth="1"/>
    <col min="12291" max="12291" width="13.33203125" style="189" customWidth="1"/>
    <col min="12292" max="12292" width="62.77734375" style="189" customWidth="1"/>
    <col min="12293" max="12293" width="4.33203125" style="189" customWidth="1"/>
    <col min="12294" max="12294" width="10.77734375" style="189" customWidth="1"/>
    <col min="12295" max="12295" width="12" style="189" customWidth="1"/>
    <col min="12296" max="12298" width="14.33203125" style="189" customWidth="1"/>
    <col min="12299" max="12301" width="11.6640625" style="189" customWidth="1"/>
    <col min="12302" max="12325" width="0" style="189" hidden="1" customWidth="1"/>
    <col min="12326" max="12544" width="11.44140625" style="189"/>
    <col min="12545" max="12545" width="3.6640625" style="189" customWidth="1"/>
    <col min="12546" max="12546" width="6.77734375" style="189" customWidth="1"/>
    <col min="12547" max="12547" width="13.33203125" style="189" customWidth="1"/>
    <col min="12548" max="12548" width="62.77734375" style="189" customWidth="1"/>
    <col min="12549" max="12549" width="4.33203125" style="189" customWidth="1"/>
    <col min="12550" max="12550" width="10.77734375" style="189" customWidth="1"/>
    <col min="12551" max="12551" width="12" style="189" customWidth="1"/>
    <col min="12552" max="12554" width="14.33203125" style="189" customWidth="1"/>
    <col min="12555" max="12557" width="11.6640625" style="189" customWidth="1"/>
    <col min="12558" max="12581" width="0" style="189" hidden="1" customWidth="1"/>
    <col min="12582" max="12800" width="11.44140625" style="189"/>
    <col min="12801" max="12801" width="3.6640625" style="189" customWidth="1"/>
    <col min="12802" max="12802" width="6.77734375" style="189" customWidth="1"/>
    <col min="12803" max="12803" width="13.33203125" style="189" customWidth="1"/>
    <col min="12804" max="12804" width="62.77734375" style="189" customWidth="1"/>
    <col min="12805" max="12805" width="4.33203125" style="189" customWidth="1"/>
    <col min="12806" max="12806" width="10.77734375" style="189" customWidth="1"/>
    <col min="12807" max="12807" width="12" style="189" customWidth="1"/>
    <col min="12808" max="12810" width="14.33203125" style="189" customWidth="1"/>
    <col min="12811" max="12813" width="11.6640625" style="189" customWidth="1"/>
    <col min="12814" max="12837" width="0" style="189" hidden="1" customWidth="1"/>
    <col min="12838" max="13056" width="11.44140625" style="189"/>
    <col min="13057" max="13057" width="3.6640625" style="189" customWidth="1"/>
    <col min="13058" max="13058" width="6.77734375" style="189" customWidth="1"/>
    <col min="13059" max="13059" width="13.33203125" style="189" customWidth="1"/>
    <col min="13060" max="13060" width="62.77734375" style="189" customWidth="1"/>
    <col min="13061" max="13061" width="4.33203125" style="189" customWidth="1"/>
    <col min="13062" max="13062" width="10.77734375" style="189" customWidth="1"/>
    <col min="13063" max="13063" width="12" style="189" customWidth="1"/>
    <col min="13064" max="13066" width="14.33203125" style="189" customWidth="1"/>
    <col min="13067" max="13069" width="11.6640625" style="189" customWidth="1"/>
    <col min="13070" max="13093" width="0" style="189" hidden="1" customWidth="1"/>
    <col min="13094" max="13312" width="11.44140625" style="189"/>
    <col min="13313" max="13313" width="3.6640625" style="189" customWidth="1"/>
    <col min="13314" max="13314" width="6.77734375" style="189" customWidth="1"/>
    <col min="13315" max="13315" width="13.33203125" style="189" customWidth="1"/>
    <col min="13316" max="13316" width="62.77734375" style="189" customWidth="1"/>
    <col min="13317" max="13317" width="4.33203125" style="189" customWidth="1"/>
    <col min="13318" max="13318" width="10.77734375" style="189" customWidth="1"/>
    <col min="13319" max="13319" width="12" style="189" customWidth="1"/>
    <col min="13320" max="13322" width="14.33203125" style="189" customWidth="1"/>
    <col min="13323" max="13325" width="11.6640625" style="189" customWidth="1"/>
    <col min="13326" max="13349" width="0" style="189" hidden="1" customWidth="1"/>
    <col min="13350" max="13568" width="11.44140625" style="189"/>
    <col min="13569" max="13569" width="3.6640625" style="189" customWidth="1"/>
    <col min="13570" max="13570" width="6.77734375" style="189" customWidth="1"/>
    <col min="13571" max="13571" width="13.33203125" style="189" customWidth="1"/>
    <col min="13572" max="13572" width="62.77734375" style="189" customWidth="1"/>
    <col min="13573" max="13573" width="4.33203125" style="189" customWidth="1"/>
    <col min="13574" max="13574" width="10.77734375" style="189" customWidth="1"/>
    <col min="13575" max="13575" width="12" style="189" customWidth="1"/>
    <col min="13576" max="13578" width="14.33203125" style="189" customWidth="1"/>
    <col min="13579" max="13581" width="11.6640625" style="189" customWidth="1"/>
    <col min="13582" max="13605" width="0" style="189" hidden="1" customWidth="1"/>
    <col min="13606" max="13824" width="11.44140625" style="189"/>
    <col min="13825" max="13825" width="3.6640625" style="189" customWidth="1"/>
    <col min="13826" max="13826" width="6.77734375" style="189" customWidth="1"/>
    <col min="13827" max="13827" width="13.33203125" style="189" customWidth="1"/>
    <col min="13828" max="13828" width="62.77734375" style="189" customWidth="1"/>
    <col min="13829" max="13829" width="4.33203125" style="189" customWidth="1"/>
    <col min="13830" max="13830" width="10.77734375" style="189" customWidth="1"/>
    <col min="13831" max="13831" width="12" style="189" customWidth="1"/>
    <col min="13832" max="13834" width="14.33203125" style="189" customWidth="1"/>
    <col min="13835" max="13837" width="11.6640625" style="189" customWidth="1"/>
    <col min="13838" max="13861" width="0" style="189" hidden="1" customWidth="1"/>
    <col min="13862" max="14080" width="11.44140625" style="189"/>
    <col min="14081" max="14081" width="3.6640625" style="189" customWidth="1"/>
    <col min="14082" max="14082" width="6.77734375" style="189" customWidth="1"/>
    <col min="14083" max="14083" width="13.33203125" style="189" customWidth="1"/>
    <col min="14084" max="14084" width="62.77734375" style="189" customWidth="1"/>
    <col min="14085" max="14085" width="4.33203125" style="189" customWidth="1"/>
    <col min="14086" max="14086" width="10.77734375" style="189" customWidth="1"/>
    <col min="14087" max="14087" width="12" style="189" customWidth="1"/>
    <col min="14088" max="14090" width="14.33203125" style="189" customWidth="1"/>
    <col min="14091" max="14093" width="11.6640625" style="189" customWidth="1"/>
    <col min="14094" max="14117" width="0" style="189" hidden="1" customWidth="1"/>
    <col min="14118" max="14336" width="11.44140625" style="189"/>
    <col min="14337" max="14337" width="3.6640625" style="189" customWidth="1"/>
    <col min="14338" max="14338" width="6.77734375" style="189" customWidth="1"/>
    <col min="14339" max="14339" width="13.33203125" style="189" customWidth="1"/>
    <col min="14340" max="14340" width="62.77734375" style="189" customWidth="1"/>
    <col min="14341" max="14341" width="4.33203125" style="189" customWidth="1"/>
    <col min="14342" max="14342" width="10.77734375" style="189" customWidth="1"/>
    <col min="14343" max="14343" width="12" style="189" customWidth="1"/>
    <col min="14344" max="14346" width="14.33203125" style="189" customWidth="1"/>
    <col min="14347" max="14349" width="11.6640625" style="189" customWidth="1"/>
    <col min="14350" max="14373" width="0" style="189" hidden="1" customWidth="1"/>
    <col min="14374" max="14592" width="11.44140625" style="189"/>
    <col min="14593" max="14593" width="3.6640625" style="189" customWidth="1"/>
    <col min="14594" max="14594" width="6.77734375" style="189" customWidth="1"/>
    <col min="14595" max="14595" width="13.33203125" style="189" customWidth="1"/>
    <col min="14596" max="14596" width="62.77734375" style="189" customWidth="1"/>
    <col min="14597" max="14597" width="4.33203125" style="189" customWidth="1"/>
    <col min="14598" max="14598" width="10.77734375" style="189" customWidth="1"/>
    <col min="14599" max="14599" width="12" style="189" customWidth="1"/>
    <col min="14600" max="14602" width="14.33203125" style="189" customWidth="1"/>
    <col min="14603" max="14605" width="11.6640625" style="189" customWidth="1"/>
    <col min="14606" max="14629" width="0" style="189" hidden="1" customWidth="1"/>
    <col min="14630" max="14848" width="11.44140625" style="189"/>
    <col min="14849" max="14849" width="3.6640625" style="189" customWidth="1"/>
    <col min="14850" max="14850" width="6.77734375" style="189" customWidth="1"/>
    <col min="14851" max="14851" width="13.33203125" style="189" customWidth="1"/>
    <col min="14852" max="14852" width="62.77734375" style="189" customWidth="1"/>
    <col min="14853" max="14853" width="4.33203125" style="189" customWidth="1"/>
    <col min="14854" max="14854" width="10.77734375" style="189" customWidth="1"/>
    <col min="14855" max="14855" width="12" style="189" customWidth="1"/>
    <col min="14856" max="14858" width="14.33203125" style="189" customWidth="1"/>
    <col min="14859" max="14861" width="11.6640625" style="189" customWidth="1"/>
    <col min="14862" max="14885" width="0" style="189" hidden="1" customWidth="1"/>
    <col min="14886" max="15104" width="11.44140625" style="189"/>
    <col min="15105" max="15105" width="3.6640625" style="189" customWidth="1"/>
    <col min="15106" max="15106" width="6.77734375" style="189" customWidth="1"/>
    <col min="15107" max="15107" width="13.33203125" style="189" customWidth="1"/>
    <col min="15108" max="15108" width="62.77734375" style="189" customWidth="1"/>
    <col min="15109" max="15109" width="4.33203125" style="189" customWidth="1"/>
    <col min="15110" max="15110" width="10.77734375" style="189" customWidth="1"/>
    <col min="15111" max="15111" width="12" style="189" customWidth="1"/>
    <col min="15112" max="15114" width="14.33203125" style="189" customWidth="1"/>
    <col min="15115" max="15117" width="11.6640625" style="189" customWidth="1"/>
    <col min="15118" max="15141" width="0" style="189" hidden="1" customWidth="1"/>
    <col min="15142" max="15360" width="11.44140625" style="189"/>
    <col min="15361" max="15361" width="3.6640625" style="189" customWidth="1"/>
    <col min="15362" max="15362" width="6.77734375" style="189" customWidth="1"/>
    <col min="15363" max="15363" width="13.33203125" style="189" customWidth="1"/>
    <col min="15364" max="15364" width="62.77734375" style="189" customWidth="1"/>
    <col min="15365" max="15365" width="4.33203125" style="189" customWidth="1"/>
    <col min="15366" max="15366" width="10.77734375" style="189" customWidth="1"/>
    <col min="15367" max="15367" width="12" style="189" customWidth="1"/>
    <col min="15368" max="15370" width="14.33203125" style="189" customWidth="1"/>
    <col min="15371" max="15373" width="11.6640625" style="189" customWidth="1"/>
    <col min="15374" max="15397" width="0" style="189" hidden="1" customWidth="1"/>
    <col min="15398" max="15616" width="11.44140625" style="189"/>
    <col min="15617" max="15617" width="3.6640625" style="189" customWidth="1"/>
    <col min="15618" max="15618" width="6.77734375" style="189" customWidth="1"/>
    <col min="15619" max="15619" width="13.33203125" style="189" customWidth="1"/>
    <col min="15620" max="15620" width="62.77734375" style="189" customWidth="1"/>
    <col min="15621" max="15621" width="4.33203125" style="189" customWidth="1"/>
    <col min="15622" max="15622" width="10.77734375" style="189" customWidth="1"/>
    <col min="15623" max="15623" width="12" style="189" customWidth="1"/>
    <col min="15624" max="15626" width="14.33203125" style="189" customWidth="1"/>
    <col min="15627" max="15629" width="11.6640625" style="189" customWidth="1"/>
    <col min="15630" max="15653" width="0" style="189" hidden="1" customWidth="1"/>
    <col min="15654" max="15872" width="11.44140625" style="189"/>
    <col min="15873" max="15873" width="3.6640625" style="189" customWidth="1"/>
    <col min="15874" max="15874" width="6.77734375" style="189" customWidth="1"/>
    <col min="15875" max="15875" width="13.33203125" style="189" customWidth="1"/>
    <col min="15876" max="15876" width="62.77734375" style="189" customWidth="1"/>
    <col min="15877" max="15877" width="4.33203125" style="189" customWidth="1"/>
    <col min="15878" max="15878" width="10.77734375" style="189" customWidth="1"/>
    <col min="15879" max="15879" width="12" style="189" customWidth="1"/>
    <col min="15880" max="15882" width="14.33203125" style="189" customWidth="1"/>
    <col min="15883" max="15885" width="11.6640625" style="189" customWidth="1"/>
    <col min="15886" max="15909" width="0" style="189" hidden="1" customWidth="1"/>
    <col min="15910" max="16128" width="11.44140625" style="189"/>
    <col min="16129" max="16129" width="3.6640625" style="189" customWidth="1"/>
    <col min="16130" max="16130" width="6.77734375" style="189" customWidth="1"/>
    <col min="16131" max="16131" width="13.33203125" style="189" customWidth="1"/>
    <col min="16132" max="16132" width="62.77734375" style="189" customWidth="1"/>
    <col min="16133" max="16133" width="4.33203125" style="189" customWidth="1"/>
    <col min="16134" max="16134" width="10.77734375" style="189" customWidth="1"/>
    <col min="16135" max="16135" width="12" style="189" customWidth="1"/>
    <col min="16136" max="16138" width="14.33203125" style="189" customWidth="1"/>
    <col min="16139" max="16141" width="11.6640625" style="189" customWidth="1"/>
    <col min="16142" max="16165" width="0" style="189" hidden="1" customWidth="1"/>
    <col min="16166" max="16384" width="11.44140625" style="189"/>
  </cols>
  <sheetData>
    <row r="1" spans="1:37" ht="22.05" customHeight="1" x14ac:dyDescent="0.25">
      <c r="A1" s="359" t="s">
        <v>711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37" x14ac:dyDescent="0.25">
      <c r="A2" s="321" t="s">
        <v>656</v>
      </c>
      <c r="B2" s="322"/>
      <c r="C2" s="322"/>
      <c r="D2" s="325" t="s">
        <v>657</v>
      </c>
      <c r="E2" s="361" t="s">
        <v>712</v>
      </c>
      <c r="F2" s="322"/>
      <c r="G2" s="361"/>
      <c r="H2" s="322"/>
      <c r="I2" s="328" t="s">
        <v>658</v>
      </c>
      <c r="J2" s="328"/>
      <c r="K2" s="322"/>
      <c r="L2" s="322"/>
      <c r="M2" s="362"/>
      <c r="N2" s="190"/>
    </row>
    <row r="3" spans="1:37" x14ac:dyDescent="0.25">
      <c r="A3" s="323"/>
      <c r="B3" s="324"/>
      <c r="C3" s="324"/>
      <c r="D3" s="327"/>
      <c r="E3" s="324"/>
      <c r="F3" s="324"/>
      <c r="G3" s="324"/>
      <c r="H3" s="324"/>
      <c r="I3" s="324"/>
      <c r="J3" s="324"/>
      <c r="K3" s="324"/>
      <c r="L3" s="324"/>
      <c r="M3" s="330"/>
      <c r="N3" s="190"/>
    </row>
    <row r="4" spans="1:37" x14ac:dyDescent="0.25">
      <c r="A4" s="332" t="s">
        <v>660</v>
      </c>
      <c r="B4" s="324"/>
      <c r="C4" s="324"/>
      <c r="D4" s="333" t="s">
        <v>661</v>
      </c>
      <c r="E4" s="337" t="s">
        <v>664</v>
      </c>
      <c r="F4" s="324"/>
      <c r="G4" s="336">
        <v>43627</v>
      </c>
      <c r="H4" s="324"/>
      <c r="I4" s="333" t="s">
        <v>20</v>
      </c>
      <c r="J4" s="333"/>
      <c r="K4" s="324"/>
      <c r="L4" s="324"/>
      <c r="M4" s="330"/>
      <c r="N4" s="190"/>
    </row>
    <row r="5" spans="1:37" x14ac:dyDescent="0.25">
      <c r="A5" s="323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30"/>
      <c r="N5" s="190"/>
    </row>
    <row r="6" spans="1:37" x14ac:dyDescent="0.25">
      <c r="A6" s="332" t="s">
        <v>662</v>
      </c>
      <c r="B6" s="324"/>
      <c r="C6" s="324"/>
      <c r="D6" s="333" t="s">
        <v>663</v>
      </c>
      <c r="E6" s="337" t="s">
        <v>665</v>
      </c>
      <c r="F6" s="324"/>
      <c r="G6" s="324"/>
      <c r="H6" s="324"/>
      <c r="I6" s="333" t="s">
        <v>19</v>
      </c>
      <c r="J6" s="333"/>
      <c r="K6" s="324"/>
      <c r="L6" s="324"/>
      <c r="M6" s="330"/>
      <c r="N6" s="190"/>
    </row>
    <row r="7" spans="1:37" x14ac:dyDescent="0.25">
      <c r="A7" s="323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30"/>
      <c r="N7" s="190"/>
    </row>
    <row r="8" spans="1:37" x14ac:dyDescent="0.25">
      <c r="A8" s="332" t="s">
        <v>668</v>
      </c>
      <c r="B8" s="324"/>
      <c r="C8" s="324"/>
      <c r="D8" s="333"/>
      <c r="E8" s="337" t="s">
        <v>713</v>
      </c>
      <c r="F8" s="324"/>
      <c r="G8" s="336">
        <v>43627</v>
      </c>
      <c r="H8" s="324"/>
      <c r="I8" s="333" t="s">
        <v>669</v>
      </c>
      <c r="J8" s="333" t="s">
        <v>670</v>
      </c>
      <c r="K8" s="324"/>
      <c r="L8" s="324"/>
      <c r="M8" s="330"/>
      <c r="N8" s="190"/>
    </row>
    <row r="9" spans="1:37" ht="13.8" thickBot="1" x14ac:dyDescent="0.3">
      <c r="A9" s="365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4"/>
      <c r="N9" s="190"/>
    </row>
    <row r="10" spans="1:37" x14ac:dyDescent="0.25">
      <c r="A10" s="210" t="s">
        <v>714</v>
      </c>
      <c r="B10" s="211" t="s">
        <v>715</v>
      </c>
      <c r="C10" s="211" t="s">
        <v>716</v>
      </c>
      <c r="D10" s="211" t="s">
        <v>717</v>
      </c>
      <c r="E10" s="211" t="s">
        <v>718</v>
      </c>
      <c r="F10" s="212" t="s">
        <v>125</v>
      </c>
      <c r="G10" s="213" t="s">
        <v>719</v>
      </c>
      <c r="H10" s="366" t="s">
        <v>720</v>
      </c>
      <c r="I10" s="367"/>
      <c r="J10" s="368"/>
      <c r="K10" s="366" t="s">
        <v>721</v>
      </c>
      <c r="L10" s="368"/>
      <c r="M10" s="214" t="s">
        <v>722</v>
      </c>
      <c r="N10" s="207"/>
    </row>
    <row r="11" spans="1:37" ht="13.8" thickBot="1" x14ac:dyDescent="0.3">
      <c r="A11" s="215" t="s">
        <v>723</v>
      </c>
      <c r="B11" s="216" t="s">
        <v>723</v>
      </c>
      <c r="C11" s="216" t="s">
        <v>723</v>
      </c>
      <c r="D11" s="217" t="s">
        <v>724</v>
      </c>
      <c r="E11" s="216" t="s">
        <v>723</v>
      </c>
      <c r="F11" s="216" t="s">
        <v>723</v>
      </c>
      <c r="G11" s="218" t="s">
        <v>725</v>
      </c>
      <c r="H11" s="219" t="s">
        <v>30</v>
      </c>
      <c r="I11" s="220" t="s">
        <v>31</v>
      </c>
      <c r="J11" s="221" t="s">
        <v>29</v>
      </c>
      <c r="K11" s="219" t="s">
        <v>719</v>
      </c>
      <c r="L11" s="221" t="s">
        <v>29</v>
      </c>
      <c r="M11" s="222" t="s">
        <v>726</v>
      </c>
      <c r="N11" s="207"/>
      <c r="P11" s="223" t="s">
        <v>727</v>
      </c>
      <c r="Q11" s="223" t="s">
        <v>728</v>
      </c>
      <c r="R11" s="223" t="s">
        <v>729</v>
      </c>
      <c r="S11" s="223" t="s">
        <v>730</v>
      </c>
      <c r="T11" s="223" t="s">
        <v>731</v>
      </c>
      <c r="U11" s="223" t="s">
        <v>732</v>
      </c>
      <c r="V11" s="223" t="s">
        <v>733</v>
      </c>
      <c r="W11" s="223" t="s">
        <v>734</v>
      </c>
      <c r="X11" s="223" t="s">
        <v>735</v>
      </c>
    </row>
    <row r="12" spans="1:37" x14ac:dyDescent="0.25">
      <c r="A12" s="224"/>
      <c r="B12" s="225"/>
      <c r="C12" s="225" t="s">
        <v>736</v>
      </c>
      <c r="D12" s="369" t="s">
        <v>737</v>
      </c>
      <c r="E12" s="370"/>
      <c r="F12" s="370"/>
      <c r="G12" s="370"/>
      <c r="H12" s="226">
        <f>SUM(H13:H18)</f>
        <v>0</v>
      </c>
      <c r="I12" s="226">
        <f>SUM(I13:I18)</f>
        <v>0</v>
      </c>
      <c r="J12" s="226">
        <f>H12+I12</f>
        <v>0</v>
      </c>
      <c r="K12" s="227"/>
      <c r="L12" s="226">
        <f>SUM(L13:L18)</f>
        <v>9.2000000000000003E-4</v>
      </c>
      <c r="M12" s="227"/>
      <c r="P12" s="228">
        <f>IF(Q12="PR",J12,SUM(O13:O18))</f>
        <v>0</v>
      </c>
      <c r="Q12" s="223" t="s">
        <v>738</v>
      </c>
      <c r="R12" s="228">
        <f>IF(Q12="HS",H12,0)</f>
        <v>0</v>
      </c>
      <c r="S12" s="228">
        <f>IF(Q12="HS",I12-P12,0)</f>
        <v>0</v>
      </c>
      <c r="T12" s="228">
        <f>IF(Q12="PS",H12,0)</f>
        <v>0</v>
      </c>
      <c r="U12" s="228">
        <f>IF(Q12="PS",I12-P12,0)</f>
        <v>0</v>
      </c>
      <c r="V12" s="228">
        <f>IF(Q12="MP",H12,0)</f>
        <v>0</v>
      </c>
      <c r="W12" s="228">
        <f>IF(Q12="MP",I12-P12,0)</f>
        <v>0</v>
      </c>
      <c r="X12" s="228">
        <f>IF(Q12="OM",H12,0)</f>
        <v>0</v>
      </c>
      <c r="Y12" s="223"/>
      <c r="AI12" s="228">
        <f>SUM(Z13:Z18)</f>
        <v>0</v>
      </c>
      <c r="AJ12" s="228">
        <f>SUM(AA13:AA18)</f>
        <v>0</v>
      </c>
      <c r="AK12" s="228">
        <f>SUM(AB13:AB18)</f>
        <v>0</v>
      </c>
    </row>
    <row r="13" spans="1:37" x14ac:dyDescent="0.25">
      <c r="A13" s="229" t="s">
        <v>75</v>
      </c>
      <c r="B13" s="229"/>
      <c r="C13" s="229" t="s">
        <v>739</v>
      </c>
      <c r="D13" s="229" t="s">
        <v>740</v>
      </c>
      <c r="E13" s="229" t="s">
        <v>315</v>
      </c>
      <c r="F13" s="230">
        <v>2</v>
      </c>
      <c r="G13" s="231">
        <v>0</v>
      </c>
      <c r="H13" s="230">
        <f t="shared" ref="H13:H18" si="0">ROUND(F13*AE13,2)</f>
        <v>0</v>
      </c>
      <c r="I13" s="230">
        <f t="shared" ref="I13:I18" si="1">J13-H13</f>
        <v>0</v>
      </c>
      <c r="J13" s="230">
        <f t="shared" ref="J13:J18" si="2">ROUND(F13*G13,2)</f>
        <v>0</v>
      </c>
      <c r="K13" s="230">
        <v>0</v>
      </c>
      <c r="L13" s="230">
        <f t="shared" ref="L13:L18" si="3">F13*K13</f>
        <v>0</v>
      </c>
      <c r="M13" s="232" t="s">
        <v>741</v>
      </c>
      <c r="N13" s="233" t="s">
        <v>77</v>
      </c>
      <c r="O13" s="234">
        <f t="shared" ref="O13:O18" si="4">IF(N13="5",I13,0)</f>
        <v>0</v>
      </c>
      <c r="Z13" s="234">
        <f t="shared" ref="Z13:Z18" si="5">IF(AD13=0,J13,0)</f>
        <v>0</v>
      </c>
      <c r="AA13" s="234">
        <f t="shared" ref="AA13:AA18" si="6">IF(AD13=15,J13,0)</f>
        <v>0</v>
      </c>
      <c r="AB13" s="234">
        <f t="shared" ref="AB13:AB18" si="7">IF(AD13=21,J13,0)</f>
        <v>0</v>
      </c>
      <c r="AD13" s="235">
        <v>21</v>
      </c>
      <c r="AE13" s="235">
        <f>G13*0</f>
        <v>0</v>
      </c>
      <c r="AF13" s="235">
        <f>G13*(1-0)</f>
        <v>0</v>
      </c>
    </row>
    <row r="14" spans="1:37" x14ac:dyDescent="0.25">
      <c r="A14" s="229" t="s">
        <v>77</v>
      </c>
      <c r="B14" s="229"/>
      <c r="C14" s="229" t="s">
        <v>742</v>
      </c>
      <c r="D14" s="229" t="s">
        <v>743</v>
      </c>
      <c r="E14" s="229" t="s">
        <v>315</v>
      </c>
      <c r="F14" s="230">
        <v>2</v>
      </c>
      <c r="G14" s="231">
        <v>0</v>
      </c>
      <c r="H14" s="230">
        <f t="shared" si="0"/>
        <v>0</v>
      </c>
      <c r="I14" s="230">
        <f t="shared" si="1"/>
        <v>0</v>
      </c>
      <c r="J14" s="230">
        <f t="shared" si="2"/>
        <v>0</v>
      </c>
      <c r="K14" s="230">
        <v>4.6000000000000001E-4</v>
      </c>
      <c r="L14" s="230">
        <f t="shared" si="3"/>
        <v>9.2000000000000003E-4</v>
      </c>
      <c r="M14" s="232" t="s">
        <v>741</v>
      </c>
      <c r="N14" s="236" t="s">
        <v>744</v>
      </c>
      <c r="O14" s="237">
        <f t="shared" si="4"/>
        <v>0</v>
      </c>
      <c r="Z14" s="237">
        <f t="shared" si="5"/>
        <v>0</v>
      </c>
      <c r="AA14" s="237">
        <f t="shared" si="6"/>
        <v>0</v>
      </c>
      <c r="AB14" s="237">
        <f t="shared" si="7"/>
        <v>0</v>
      </c>
      <c r="AD14" s="235">
        <v>21</v>
      </c>
      <c r="AE14" s="235">
        <f>G14*1</f>
        <v>0</v>
      </c>
      <c r="AF14" s="235">
        <f>G14*(1-1)</f>
        <v>0</v>
      </c>
    </row>
    <row r="15" spans="1:37" x14ac:dyDescent="0.25">
      <c r="A15" s="229" t="s">
        <v>79</v>
      </c>
      <c r="B15" s="229"/>
      <c r="C15" s="229" t="s">
        <v>745</v>
      </c>
      <c r="D15" s="229" t="s">
        <v>746</v>
      </c>
      <c r="E15" s="229" t="s">
        <v>315</v>
      </c>
      <c r="F15" s="230">
        <v>1</v>
      </c>
      <c r="G15" s="231">
        <v>0</v>
      </c>
      <c r="H15" s="230">
        <f t="shared" si="0"/>
        <v>0</v>
      </c>
      <c r="I15" s="230">
        <f t="shared" si="1"/>
        <v>0</v>
      </c>
      <c r="J15" s="230">
        <f t="shared" si="2"/>
        <v>0</v>
      </c>
      <c r="K15" s="230">
        <v>0</v>
      </c>
      <c r="L15" s="230">
        <f t="shared" si="3"/>
        <v>0</v>
      </c>
      <c r="M15" s="232" t="s">
        <v>741</v>
      </c>
      <c r="N15" s="233" t="s">
        <v>77</v>
      </c>
      <c r="O15" s="234">
        <f t="shared" si="4"/>
        <v>0</v>
      </c>
      <c r="Z15" s="234">
        <f t="shared" si="5"/>
        <v>0</v>
      </c>
      <c r="AA15" s="234">
        <f t="shared" si="6"/>
        <v>0</v>
      </c>
      <c r="AB15" s="234">
        <f t="shared" si="7"/>
        <v>0</v>
      </c>
      <c r="AD15" s="235">
        <v>21</v>
      </c>
      <c r="AE15" s="235">
        <f>G15*0</f>
        <v>0</v>
      </c>
      <c r="AF15" s="235">
        <f>G15*(1-0)</f>
        <v>0</v>
      </c>
    </row>
    <row r="16" spans="1:37" x14ac:dyDescent="0.25">
      <c r="A16" s="229" t="s">
        <v>747</v>
      </c>
      <c r="B16" s="229"/>
      <c r="C16" s="229" t="s">
        <v>748</v>
      </c>
      <c r="D16" s="229" t="s">
        <v>749</v>
      </c>
      <c r="E16" s="229" t="s">
        <v>315</v>
      </c>
      <c r="F16" s="230">
        <v>1</v>
      </c>
      <c r="G16" s="231">
        <v>0</v>
      </c>
      <c r="H16" s="230">
        <f t="shared" si="0"/>
        <v>0</v>
      </c>
      <c r="I16" s="230">
        <f t="shared" si="1"/>
        <v>0</v>
      </c>
      <c r="J16" s="230">
        <f t="shared" si="2"/>
        <v>0</v>
      </c>
      <c r="K16" s="230">
        <v>0</v>
      </c>
      <c r="L16" s="230">
        <f t="shared" si="3"/>
        <v>0</v>
      </c>
      <c r="M16" s="232" t="s">
        <v>741</v>
      </c>
      <c r="N16" s="236" t="s">
        <v>744</v>
      </c>
      <c r="O16" s="237">
        <f t="shared" si="4"/>
        <v>0</v>
      </c>
      <c r="Z16" s="237">
        <f t="shared" si="5"/>
        <v>0</v>
      </c>
      <c r="AA16" s="237">
        <f t="shared" si="6"/>
        <v>0</v>
      </c>
      <c r="AB16" s="237">
        <f t="shared" si="7"/>
        <v>0</v>
      </c>
      <c r="AD16" s="235">
        <v>21</v>
      </c>
      <c r="AE16" s="235">
        <f>G16*1</f>
        <v>0</v>
      </c>
      <c r="AF16" s="235">
        <f>G16*(1-1)</f>
        <v>0</v>
      </c>
    </row>
    <row r="17" spans="1:37" x14ac:dyDescent="0.25">
      <c r="A17" s="229" t="s">
        <v>81</v>
      </c>
      <c r="B17" s="229"/>
      <c r="C17" s="229" t="s">
        <v>750</v>
      </c>
      <c r="D17" s="229" t="s">
        <v>751</v>
      </c>
      <c r="E17" s="229" t="s">
        <v>0</v>
      </c>
      <c r="F17" s="230">
        <v>44.88</v>
      </c>
      <c r="G17" s="231">
        <v>0</v>
      </c>
      <c r="H17" s="230">
        <f t="shared" si="0"/>
        <v>0</v>
      </c>
      <c r="I17" s="230">
        <f t="shared" si="1"/>
        <v>0</v>
      </c>
      <c r="J17" s="230">
        <f t="shared" si="2"/>
        <v>0</v>
      </c>
      <c r="K17" s="230">
        <v>0</v>
      </c>
      <c r="L17" s="230">
        <f t="shared" si="3"/>
        <v>0</v>
      </c>
      <c r="M17" s="232" t="s">
        <v>741</v>
      </c>
      <c r="N17" s="233" t="s">
        <v>77</v>
      </c>
      <c r="O17" s="234">
        <f t="shared" si="4"/>
        <v>0</v>
      </c>
      <c r="Z17" s="234">
        <f t="shared" si="5"/>
        <v>0</v>
      </c>
      <c r="AA17" s="234">
        <f t="shared" si="6"/>
        <v>0</v>
      </c>
      <c r="AB17" s="234">
        <f t="shared" si="7"/>
        <v>0</v>
      </c>
      <c r="AD17" s="235">
        <v>21</v>
      </c>
      <c r="AE17" s="235">
        <f>G17*0</f>
        <v>0</v>
      </c>
      <c r="AF17" s="235">
        <f>G17*(1-0)</f>
        <v>0</v>
      </c>
    </row>
    <row r="18" spans="1:37" x14ac:dyDescent="0.25">
      <c r="A18" s="229" t="s">
        <v>752</v>
      </c>
      <c r="B18" s="229"/>
      <c r="C18" s="229" t="s">
        <v>753</v>
      </c>
      <c r="D18" s="229" t="s">
        <v>754</v>
      </c>
      <c r="E18" s="229" t="s">
        <v>0</v>
      </c>
      <c r="F18" s="230">
        <v>44.88</v>
      </c>
      <c r="G18" s="231">
        <v>0</v>
      </c>
      <c r="H18" s="230">
        <f t="shared" si="0"/>
        <v>0</v>
      </c>
      <c r="I18" s="230">
        <f t="shared" si="1"/>
        <v>0</v>
      </c>
      <c r="J18" s="230">
        <f t="shared" si="2"/>
        <v>0</v>
      </c>
      <c r="K18" s="230">
        <v>0</v>
      </c>
      <c r="L18" s="230">
        <f t="shared" si="3"/>
        <v>0</v>
      </c>
      <c r="M18" s="232" t="s">
        <v>741</v>
      </c>
      <c r="N18" s="233" t="s">
        <v>77</v>
      </c>
      <c r="O18" s="234">
        <f t="shared" si="4"/>
        <v>0</v>
      </c>
      <c r="Z18" s="234">
        <f t="shared" si="5"/>
        <v>0</v>
      </c>
      <c r="AA18" s="234">
        <f t="shared" si="6"/>
        <v>0</v>
      </c>
      <c r="AB18" s="234">
        <f t="shared" si="7"/>
        <v>0</v>
      </c>
      <c r="AD18" s="235">
        <v>21</v>
      </c>
      <c r="AE18" s="235">
        <f>G18*0</f>
        <v>0</v>
      </c>
      <c r="AF18" s="235">
        <f>G18*(1-0)</f>
        <v>0</v>
      </c>
    </row>
    <row r="19" spans="1:37" x14ac:dyDescent="0.25">
      <c r="A19" s="238"/>
      <c r="B19" s="239"/>
      <c r="C19" s="239" t="s">
        <v>105</v>
      </c>
      <c r="D19" s="371" t="s">
        <v>106</v>
      </c>
      <c r="E19" s="372"/>
      <c r="F19" s="372"/>
      <c r="G19" s="372"/>
      <c r="H19" s="240">
        <f>SUM(H20:H35)</f>
        <v>0</v>
      </c>
      <c r="I19" s="240">
        <f>SUM(I20:I35)</f>
        <v>0</v>
      </c>
      <c r="J19" s="240">
        <f>H19+I19</f>
        <v>0</v>
      </c>
      <c r="K19" s="241"/>
      <c r="L19" s="240">
        <f>SUM(L20:L35)</f>
        <v>2.8590000000000001E-2</v>
      </c>
      <c r="M19" s="241"/>
      <c r="P19" s="228">
        <f>IF(Q19="PR",J19,SUM(O20:O35))</f>
        <v>0</v>
      </c>
      <c r="Q19" s="223" t="s">
        <v>755</v>
      </c>
      <c r="R19" s="228">
        <f>IF(Q19="HS",H19,0)</f>
        <v>0</v>
      </c>
      <c r="S19" s="228">
        <f>IF(Q19="HS",I19-P19,0)</f>
        <v>0</v>
      </c>
      <c r="T19" s="228">
        <f>IF(Q19="PS",H19,0)</f>
        <v>0</v>
      </c>
      <c r="U19" s="228">
        <f>IF(Q19="PS",I19-P19,0)</f>
        <v>0</v>
      </c>
      <c r="V19" s="228">
        <f>IF(Q19="MP",H19,0)</f>
        <v>0</v>
      </c>
      <c r="W19" s="228">
        <f>IF(Q19="MP",I19-P19,0)</f>
        <v>0</v>
      </c>
      <c r="X19" s="228">
        <f>IF(Q19="OM",H19,0)</f>
        <v>0</v>
      </c>
      <c r="Y19" s="223"/>
      <c r="AI19" s="228">
        <f>SUM(Z20:Z35)</f>
        <v>0</v>
      </c>
      <c r="AJ19" s="228">
        <f>SUM(AA20:AA35)</f>
        <v>0</v>
      </c>
      <c r="AK19" s="228">
        <f>SUM(AB20:AB35)</f>
        <v>0</v>
      </c>
    </row>
    <row r="20" spans="1:37" x14ac:dyDescent="0.25">
      <c r="A20" s="229" t="s">
        <v>756</v>
      </c>
      <c r="B20" s="229"/>
      <c r="C20" s="229" t="s">
        <v>757</v>
      </c>
      <c r="D20" s="229" t="s">
        <v>758</v>
      </c>
      <c r="E20" s="229" t="s">
        <v>315</v>
      </c>
      <c r="F20" s="230">
        <v>1</v>
      </c>
      <c r="G20" s="231">
        <v>0</v>
      </c>
      <c r="H20" s="230">
        <f t="shared" ref="H20:H35" si="8">ROUND(F20*AE20,2)</f>
        <v>0</v>
      </c>
      <c r="I20" s="230">
        <f t="shared" ref="I20:I35" si="9">J20-H20</f>
        <v>0</v>
      </c>
      <c r="J20" s="230">
        <f t="shared" ref="J20:J35" si="10">ROUND(F20*G20,2)</f>
        <v>0</v>
      </c>
      <c r="K20" s="230">
        <v>0</v>
      </c>
      <c r="L20" s="230">
        <f t="shared" ref="L20:L35" si="11">F20*K20</f>
        <v>0</v>
      </c>
      <c r="M20" s="232" t="s">
        <v>741</v>
      </c>
      <c r="N20" s="233" t="s">
        <v>77</v>
      </c>
      <c r="O20" s="234">
        <f t="shared" ref="O20:O35" si="12">IF(N20="5",I20,0)</f>
        <v>0</v>
      </c>
      <c r="Z20" s="234">
        <f t="shared" ref="Z20:Z35" si="13">IF(AD20=0,J20,0)</f>
        <v>0</v>
      </c>
      <c r="AA20" s="234">
        <f t="shared" ref="AA20:AA35" si="14">IF(AD20=15,J20,0)</f>
        <v>0</v>
      </c>
      <c r="AB20" s="234">
        <f t="shared" ref="AB20:AB35" si="15">IF(AD20=21,J20,0)</f>
        <v>0</v>
      </c>
      <c r="AD20" s="235">
        <v>21</v>
      </c>
      <c r="AE20" s="235">
        <f>G20*0</f>
        <v>0</v>
      </c>
      <c r="AF20" s="235">
        <f>G20*(1-0)</f>
        <v>0</v>
      </c>
    </row>
    <row r="21" spans="1:37" x14ac:dyDescent="0.25">
      <c r="A21" s="229" t="s">
        <v>85</v>
      </c>
      <c r="B21" s="229"/>
      <c r="C21" s="229" t="s">
        <v>759</v>
      </c>
      <c r="D21" s="229" t="s">
        <v>760</v>
      </c>
      <c r="E21" s="229" t="s">
        <v>315</v>
      </c>
      <c r="F21" s="230">
        <v>1</v>
      </c>
      <c r="G21" s="231">
        <v>0</v>
      </c>
      <c r="H21" s="230">
        <f t="shared" si="8"/>
        <v>0</v>
      </c>
      <c r="I21" s="230">
        <f t="shared" si="9"/>
        <v>0</v>
      </c>
      <c r="J21" s="230">
        <f t="shared" si="10"/>
        <v>0</v>
      </c>
      <c r="K21" s="230">
        <v>4.2999999999999999E-4</v>
      </c>
      <c r="L21" s="230">
        <f t="shared" si="11"/>
        <v>4.2999999999999999E-4</v>
      </c>
      <c r="M21" s="232" t="s">
        <v>741</v>
      </c>
      <c r="N21" s="236" t="s">
        <v>744</v>
      </c>
      <c r="O21" s="237">
        <f t="shared" si="12"/>
        <v>0</v>
      </c>
      <c r="Z21" s="237">
        <f t="shared" si="13"/>
        <v>0</v>
      </c>
      <c r="AA21" s="237">
        <f t="shared" si="14"/>
        <v>0</v>
      </c>
      <c r="AB21" s="237">
        <f t="shared" si="15"/>
        <v>0</v>
      </c>
      <c r="AD21" s="235">
        <v>21</v>
      </c>
      <c r="AE21" s="235">
        <f>G21*1</f>
        <v>0</v>
      </c>
      <c r="AF21" s="235">
        <f>G21*(1-1)</f>
        <v>0</v>
      </c>
    </row>
    <row r="22" spans="1:37" x14ac:dyDescent="0.25">
      <c r="A22" s="229" t="s">
        <v>761</v>
      </c>
      <c r="B22" s="229"/>
      <c r="C22" s="229" t="s">
        <v>762</v>
      </c>
      <c r="D22" s="229" t="s">
        <v>763</v>
      </c>
      <c r="E22" s="229" t="s">
        <v>315</v>
      </c>
      <c r="F22" s="230">
        <v>2</v>
      </c>
      <c r="G22" s="231">
        <v>0</v>
      </c>
      <c r="H22" s="230">
        <f t="shared" si="8"/>
        <v>0</v>
      </c>
      <c r="I22" s="230">
        <f t="shared" si="9"/>
        <v>0</v>
      </c>
      <c r="J22" s="230">
        <f t="shared" si="10"/>
        <v>0</v>
      </c>
      <c r="K22" s="230">
        <v>0</v>
      </c>
      <c r="L22" s="230">
        <f t="shared" si="11"/>
        <v>0</v>
      </c>
      <c r="M22" s="232" t="s">
        <v>741</v>
      </c>
      <c r="N22" s="233" t="s">
        <v>77</v>
      </c>
      <c r="O22" s="234">
        <f t="shared" si="12"/>
        <v>0</v>
      </c>
      <c r="Z22" s="234">
        <f t="shared" si="13"/>
        <v>0</v>
      </c>
      <c r="AA22" s="234">
        <f t="shared" si="14"/>
        <v>0</v>
      </c>
      <c r="AB22" s="234">
        <f t="shared" si="15"/>
        <v>0</v>
      </c>
      <c r="AD22" s="235">
        <v>21</v>
      </c>
      <c r="AE22" s="235">
        <f>G22*0</f>
        <v>0</v>
      </c>
      <c r="AF22" s="235">
        <f>G22*(1-0)</f>
        <v>0</v>
      </c>
    </row>
    <row r="23" spans="1:37" x14ac:dyDescent="0.25">
      <c r="A23" s="229" t="s">
        <v>764</v>
      </c>
      <c r="B23" s="229"/>
      <c r="C23" s="229" t="s">
        <v>765</v>
      </c>
      <c r="D23" s="229" t="s">
        <v>766</v>
      </c>
      <c r="E23" s="229" t="s">
        <v>315</v>
      </c>
      <c r="F23" s="230">
        <v>2</v>
      </c>
      <c r="G23" s="231">
        <v>0</v>
      </c>
      <c r="H23" s="230">
        <f t="shared" si="8"/>
        <v>0</v>
      </c>
      <c r="I23" s="230">
        <f t="shared" si="9"/>
        <v>0</v>
      </c>
      <c r="J23" s="230">
        <f t="shared" si="10"/>
        <v>0</v>
      </c>
      <c r="K23" s="230">
        <v>1.8000000000000001E-4</v>
      </c>
      <c r="L23" s="230">
        <f t="shared" si="11"/>
        <v>3.6000000000000002E-4</v>
      </c>
      <c r="M23" s="232" t="s">
        <v>741</v>
      </c>
      <c r="N23" s="236" t="s">
        <v>744</v>
      </c>
      <c r="O23" s="237">
        <f t="shared" si="12"/>
        <v>0</v>
      </c>
      <c r="Z23" s="237">
        <f t="shared" si="13"/>
        <v>0</v>
      </c>
      <c r="AA23" s="237">
        <f t="shared" si="14"/>
        <v>0</v>
      </c>
      <c r="AB23" s="237">
        <f t="shared" si="15"/>
        <v>0</v>
      </c>
      <c r="AD23" s="235">
        <v>21</v>
      </c>
      <c r="AE23" s="235">
        <f>G23*1</f>
        <v>0</v>
      </c>
      <c r="AF23" s="235">
        <f>G23*(1-1)</f>
        <v>0</v>
      </c>
    </row>
    <row r="24" spans="1:37" x14ac:dyDescent="0.25">
      <c r="A24" s="229" t="s">
        <v>767</v>
      </c>
      <c r="B24" s="229"/>
      <c r="C24" s="229" t="s">
        <v>768</v>
      </c>
      <c r="D24" s="229" t="s">
        <v>769</v>
      </c>
      <c r="E24" s="229" t="s">
        <v>335</v>
      </c>
      <c r="F24" s="230">
        <v>110</v>
      </c>
      <c r="G24" s="231">
        <v>0</v>
      </c>
      <c r="H24" s="230">
        <f t="shared" si="8"/>
        <v>0</v>
      </c>
      <c r="I24" s="230">
        <f t="shared" si="9"/>
        <v>0</v>
      </c>
      <c r="J24" s="230">
        <f t="shared" si="10"/>
        <v>0</v>
      </c>
      <c r="K24" s="230">
        <v>0</v>
      </c>
      <c r="L24" s="230">
        <f t="shared" si="11"/>
        <v>0</v>
      </c>
      <c r="M24" s="232" t="s">
        <v>741</v>
      </c>
      <c r="N24" s="233" t="s">
        <v>77</v>
      </c>
      <c r="O24" s="234">
        <f t="shared" si="12"/>
        <v>0</v>
      </c>
      <c r="Z24" s="234">
        <f t="shared" si="13"/>
        <v>0</v>
      </c>
      <c r="AA24" s="234">
        <f t="shared" si="14"/>
        <v>0</v>
      </c>
      <c r="AB24" s="234">
        <f t="shared" si="15"/>
        <v>0</v>
      </c>
      <c r="AD24" s="235">
        <v>21</v>
      </c>
      <c r="AE24" s="235">
        <f>G24*0</f>
        <v>0</v>
      </c>
      <c r="AF24" s="235">
        <f>G24*(1-0)</f>
        <v>0</v>
      </c>
    </row>
    <row r="25" spans="1:37" x14ac:dyDescent="0.25">
      <c r="A25" s="229" t="s">
        <v>770</v>
      </c>
      <c r="B25" s="229"/>
      <c r="C25" s="229" t="s">
        <v>771</v>
      </c>
      <c r="D25" s="229" t="s">
        <v>772</v>
      </c>
      <c r="E25" s="229" t="s">
        <v>335</v>
      </c>
      <c r="F25" s="230">
        <v>110</v>
      </c>
      <c r="G25" s="231">
        <v>0</v>
      </c>
      <c r="H25" s="230">
        <f t="shared" si="8"/>
        <v>0</v>
      </c>
      <c r="I25" s="230">
        <f t="shared" si="9"/>
        <v>0</v>
      </c>
      <c r="J25" s="230">
        <f t="shared" si="10"/>
        <v>0</v>
      </c>
      <c r="K25" s="230">
        <v>2.2000000000000001E-4</v>
      </c>
      <c r="L25" s="230">
        <f t="shared" si="11"/>
        <v>2.4199999999999999E-2</v>
      </c>
      <c r="M25" s="232" t="s">
        <v>741</v>
      </c>
      <c r="N25" s="236" t="s">
        <v>744</v>
      </c>
      <c r="O25" s="237">
        <f t="shared" si="12"/>
        <v>0</v>
      </c>
      <c r="Z25" s="237">
        <f t="shared" si="13"/>
        <v>0</v>
      </c>
      <c r="AA25" s="237">
        <f t="shared" si="14"/>
        <v>0</v>
      </c>
      <c r="AB25" s="237">
        <f t="shared" si="15"/>
        <v>0</v>
      </c>
      <c r="AD25" s="235">
        <v>21</v>
      </c>
      <c r="AE25" s="235">
        <f>G25*1</f>
        <v>0</v>
      </c>
      <c r="AF25" s="235">
        <f>G25*(1-1)</f>
        <v>0</v>
      </c>
    </row>
    <row r="26" spans="1:37" x14ac:dyDescent="0.25">
      <c r="A26" s="229" t="s">
        <v>773</v>
      </c>
      <c r="B26" s="229"/>
      <c r="C26" s="229" t="s">
        <v>774</v>
      </c>
      <c r="D26" s="229" t="s">
        <v>775</v>
      </c>
      <c r="E26" s="229" t="s">
        <v>335</v>
      </c>
      <c r="F26" s="230">
        <v>15</v>
      </c>
      <c r="G26" s="231">
        <v>0</v>
      </c>
      <c r="H26" s="230">
        <f t="shared" si="8"/>
        <v>0</v>
      </c>
      <c r="I26" s="230">
        <f t="shared" si="9"/>
        <v>0</v>
      </c>
      <c r="J26" s="230">
        <f t="shared" si="10"/>
        <v>0</v>
      </c>
      <c r="K26" s="230">
        <v>0</v>
      </c>
      <c r="L26" s="230">
        <f t="shared" si="11"/>
        <v>0</v>
      </c>
      <c r="M26" s="232" t="s">
        <v>741</v>
      </c>
      <c r="N26" s="233" t="s">
        <v>77</v>
      </c>
      <c r="O26" s="234">
        <f t="shared" si="12"/>
        <v>0</v>
      </c>
      <c r="Z26" s="234">
        <f t="shared" si="13"/>
        <v>0</v>
      </c>
      <c r="AA26" s="234">
        <f t="shared" si="14"/>
        <v>0</v>
      </c>
      <c r="AB26" s="234">
        <f t="shared" si="15"/>
        <v>0</v>
      </c>
      <c r="AD26" s="235">
        <v>21</v>
      </c>
      <c r="AE26" s="235">
        <f>G26*0</f>
        <v>0</v>
      </c>
      <c r="AF26" s="235">
        <f>G26*(1-0)</f>
        <v>0</v>
      </c>
    </row>
    <row r="27" spans="1:37" x14ac:dyDescent="0.25">
      <c r="A27" s="229" t="s">
        <v>776</v>
      </c>
      <c r="B27" s="229"/>
      <c r="C27" s="229" t="s">
        <v>777</v>
      </c>
      <c r="D27" s="229" t="s">
        <v>778</v>
      </c>
      <c r="E27" s="229" t="s">
        <v>335</v>
      </c>
      <c r="F27" s="230">
        <v>15</v>
      </c>
      <c r="G27" s="231">
        <v>0</v>
      </c>
      <c r="H27" s="230">
        <f t="shared" si="8"/>
        <v>0</v>
      </c>
      <c r="I27" s="230">
        <f t="shared" si="9"/>
        <v>0</v>
      </c>
      <c r="J27" s="230">
        <f t="shared" si="10"/>
        <v>0</v>
      </c>
      <c r="K27" s="230">
        <v>1.8000000000000001E-4</v>
      </c>
      <c r="L27" s="230">
        <f t="shared" si="11"/>
        <v>2.7000000000000001E-3</v>
      </c>
      <c r="M27" s="232" t="s">
        <v>741</v>
      </c>
      <c r="N27" s="236" t="s">
        <v>744</v>
      </c>
      <c r="O27" s="237">
        <f t="shared" si="12"/>
        <v>0</v>
      </c>
      <c r="Z27" s="237">
        <f t="shared" si="13"/>
        <v>0</v>
      </c>
      <c r="AA27" s="237">
        <f t="shared" si="14"/>
        <v>0</v>
      </c>
      <c r="AB27" s="237">
        <f t="shared" si="15"/>
        <v>0</v>
      </c>
      <c r="AD27" s="235">
        <v>21</v>
      </c>
      <c r="AE27" s="235">
        <f>G27*1</f>
        <v>0</v>
      </c>
      <c r="AF27" s="235">
        <f>G27*(1-1)</f>
        <v>0</v>
      </c>
    </row>
    <row r="28" spans="1:37" x14ac:dyDescent="0.25">
      <c r="A28" s="229" t="s">
        <v>779</v>
      </c>
      <c r="B28" s="229"/>
      <c r="C28" s="229" t="s">
        <v>780</v>
      </c>
      <c r="D28" s="229" t="s">
        <v>781</v>
      </c>
      <c r="E28" s="229" t="s">
        <v>335</v>
      </c>
      <c r="F28" s="230">
        <v>15</v>
      </c>
      <c r="G28" s="231">
        <v>0</v>
      </c>
      <c r="H28" s="230">
        <f t="shared" si="8"/>
        <v>0</v>
      </c>
      <c r="I28" s="230">
        <f t="shared" si="9"/>
        <v>0</v>
      </c>
      <c r="J28" s="230">
        <f t="shared" si="10"/>
        <v>0</v>
      </c>
      <c r="K28" s="230">
        <v>0</v>
      </c>
      <c r="L28" s="230">
        <f t="shared" si="11"/>
        <v>0</v>
      </c>
      <c r="M28" s="232" t="s">
        <v>741</v>
      </c>
      <c r="N28" s="233" t="s">
        <v>77</v>
      </c>
      <c r="O28" s="234">
        <f t="shared" si="12"/>
        <v>0</v>
      </c>
      <c r="Z28" s="234">
        <f t="shared" si="13"/>
        <v>0</v>
      </c>
      <c r="AA28" s="234">
        <f t="shared" si="14"/>
        <v>0</v>
      </c>
      <c r="AB28" s="234">
        <f t="shared" si="15"/>
        <v>0</v>
      </c>
      <c r="AD28" s="235">
        <v>21</v>
      </c>
      <c r="AE28" s="235">
        <f>G28*0</f>
        <v>0</v>
      </c>
      <c r="AF28" s="235">
        <f>G28*(1-0)</f>
        <v>0</v>
      </c>
    </row>
    <row r="29" spans="1:37" x14ac:dyDescent="0.25">
      <c r="A29" s="229" t="s">
        <v>782</v>
      </c>
      <c r="B29" s="229"/>
      <c r="C29" s="229" t="s">
        <v>783</v>
      </c>
      <c r="D29" s="229" t="s">
        <v>784</v>
      </c>
      <c r="E29" s="229" t="s">
        <v>335</v>
      </c>
      <c r="F29" s="230">
        <v>15</v>
      </c>
      <c r="G29" s="231">
        <v>0</v>
      </c>
      <c r="H29" s="230">
        <f t="shared" si="8"/>
        <v>0</v>
      </c>
      <c r="I29" s="230">
        <f t="shared" si="9"/>
        <v>0</v>
      </c>
      <c r="J29" s="230">
        <f t="shared" si="10"/>
        <v>0</v>
      </c>
      <c r="K29" s="230">
        <v>6.0000000000000002E-5</v>
      </c>
      <c r="L29" s="230">
        <f t="shared" si="11"/>
        <v>8.9999999999999998E-4</v>
      </c>
      <c r="M29" s="232" t="s">
        <v>741</v>
      </c>
      <c r="N29" s="236" t="s">
        <v>744</v>
      </c>
      <c r="O29" s="237">
        <f t="shared" si="12"/>
        <v>0</v>
      </c>
      <c r="Z29" s="237">
        <f t="shared" si="13"/>
        <v>0</v>
      </c>
      <c r="AA29" s="237">
        <f t="shared" si="14"/>
        <v>0</v>
      </c>
      <c r="AB29" s="237">
        <f t="shared" si="15"/>
        <v>0</v>
      </c>
      <c r="AD29" s="235">
        <v>21</v>
      </c>
      <c r="AE29" s="235">
        <f>G29*1</f>
        <v>0</v>
      </c>
      <c r="AF29" s="235">
        <f>G29*(1-1)</f>
        <v>0</v>
      </c>
    </row>
    <row r="30" spans="1:37" x14ac:dyDescent="0.25">
      <c r="A30" s="229" t="s">
        <v>785</v>
      </c>
      <c r="B30" s="229"/>
      <c r="C30" s="229" t="s">
        <v>786</v>
      </c>
      <c r="D30" s="229" t="s">
        <v>787</v>
      </c>
      <c r="E30" s="229" t="s">
        <v>335</v>
      </c>
      <c r="F30" s="230">
        <v>1</v>
      </c>
      <c r="G30" s="231">
        <v>0</v>
      </c>
      <c r="H30" s="230">
        <f t="shared" si="8"/>
        <v>0</v>
      </c>
      <c r="I30" s="230">
        <f t="shared" si="9"/>
        <v>0</v>
      </c>
      <c r="J30" s="230">
        <f t="shared" si="10"/>
        <v>0</v>
      </c>
      <c r="K30" s="230">
        <v>0</v>
      </c>
      <c r="L30" s="230">
        <f t="shared" si="11"/>
        <v>0</v>
      </c>
      <c r="M30" s="232" t="s">
        <v>741</v>
      </c>
      <c r="N30" s="233" t="s">
        <v>77</v>
      </c>
      <c r="O30" s="234">
        <f t="shared" si="12"/>
        <v>0</v>
      </c>
      <c r="Z30" s="234">
        <f t="shared" si="13"/>
        <v>0</v>
      </c>
      <c r="AA30" s="234">
        <f t="shared" si="14"/>
        <v>0</v>
      </c>
      <c r="AB30" s="234">
        <f t="shared" si="15"/>
        <v>0</v>
      </c>
      <c r="AD30" s="235">
        <v>21</v>
      </c>
      <c r="AE30" s="235">
        <f>G30*0</f>
        <v>0</v>
      </c>
      <c r="AF30" s="235">
        <f>G30*(1-0)</f>
        <v>0</v>
      </c>
    </row>
    <row r="31" spans="1:37" x14ac:dyDescent="0.25">
      <c r="A31" s="229" t="s">
        <v>788</v>
      </c>
      <c r="B31" s="229"/>
      <c r="C31" s="229" t="s">
        <v>789</v>
      </c>
      <c r="D31" s="229" t="s">
        <v>790</v>
      </c>
      <c r="E31" s="229" t="s">
        <v>335</v>
      </c>
      <c r="F31" s="230">
        <v>1</v>
      </c>
      <c r="G31" s="231">
        <v>0</v>
      </c>
      <c r="H31" s="230">
        <f t="shared" si="8"/>
        <v>0</v>
      </c>
      <c r="I31" s="230">
        <f t="shared" si="9"/>
        <v>0</v>
      </c>
      <c r="J31" s="230">
        <f t="shared" si="10"/>
        <v>0</v>
      </c>
      <c r="K31" s="230">
        <v>0</v>
      </c>
      <c r="L31" s="230">
        <f t="shared" si="11"/>
        <v>0</v>
      </c>
      <c r="M31" s="232" t="s">
        <v>741</v>
      </c>
      <c r="N31" s="236" t="s">
        <v>744</v>
      </c>
      <c r="O31" s="237">
        <f t="shared" si="12"/>
        <v>0</v>
      </c>
      <c r="Z31" s="237">
        <f t="shared" si="13"/>
        <v>0</v>
      </c>
      <c r="AA31" s="237">
        <f t="shared" si="14"/>
        <v>0</v>
      </c>
      <c r="AB31" s="237">
        <f t="shared" si="15"/>
        <v>0</v>
      </c>
      <c r="AD31" s="235">
        <v>21</v>
      </c>
      <c r="AE31" s="235">
        <f>G31*1</f>
        <v>0</v>
      </c>
      <c r="AF31" s="235">
        <f>G31*(1-1)</f>
        <v>0</v>
      </c>
    </row>
    <row r="32" spans="1:37" x14ac:dyDescent="0.25">
      <c r="A32" s="229" t="s">
        <v>791</v>
      </c>
      <c r="B32" s="229"/>
      <c r="C32" s="229" t="s">
        <v>792</v>
      </c>
      <c r="D32" s="229" t="s">
        <v>793</v>
      </c>
      <c r="E32" s="229" t="s">
        <v>794</v>
      </c>
      <c r="F32" s="230">
        <v>4</v>
      </c>
      <c r="G32" s="231">
        <v>0</v>
      </c>
      <c r="H32" s="230">
        <f t="shared" si="8"/>
        <v>0</v>
      </c>
      <c r="I32" s="230">
        <f t="shared" si="9"/>
        <v>0</v>
      </c>
      <c r="J32" s="230">
        <f t="shared" si="10"/>
        <v>0</v>
      </c>
      <c r="K32" s="230">
        <v>0</v>
      </c>
      <c r="L32" s="230">
        <f t="shared" si="11"/>
        <v>0</v>
      </c>
      <c r="M32" s="232" t="s">
        <v>741</v>
      </c>
      <c r="N32" s="233" t="s">
        <v>77</v>
      </c>
      <c r="O32" s="234">
        <f t="shared" si="12"/>
        <v>0</v>
      </c>
      <c r="Z32" s="234">
        <f t="shared" si="13"/>
        <v>0</v>
      </c>
      <c r="AA32" s="234">
        <f t="shared" si="14"/>
        <v>0</v>
      </c>
      <c r="AB32" s="234">
        <f t="shared" si="15"/>
        <v>0</v>
      </c>
      <c r="AD32" s="235">
        <v>21</v>
      </c>
      <c r="AE32" s="235">
        <f>G32*0</f>
        <v>0</v>
      </c>
      <c r="AF32" s="235">
        <f>G32*(1-0)</f>
        <v>0</v>
      </c>
    </row>
    <row r="33" spans="1:37" x14ac:dyDescent="0.25">
      <c r="A33" s="229" t="s">
        <v>795</v>
      </c>
      <c r="B33" s="229"/>
      <c r="C33" s="229" t="s">
        <v>796</v>
      </c>
      <c r="D33" s="229" t="s">
        <v>797</v>
      </c>
      <c r="E33" s="229" t="s">
        <v>798</v>
      </c>
      <c r="F33" s="230">
        <v>0.5</v>
      </c>
      <c r="G33" s="231">
        <v>0</v>
      </c>
      <c r="H33" s="230">
        <f t="shared" si="8"/>
        <v>0</v>
      </c>
      <c r="I33" s="230">
        <f t="shared" si="9"/>
        <v>0</v>
      </c>
      <c r="J33" s="230">
        <f t="shared" si="10"/>
        <v>0</v>
      </c>
      <c r="K33" s="230">
        <v>0</v>
      </c>
      <c r="L33" s="230">
        <f t="shared" si="11"/>
        <v>0</v>
      </c>
      <c r="M33" s="232"/>
      <c r="N33" s="233" t="s">
        <v>77</v>
      </c>
      <c r="O33" s="234">
        <f t="shared" si="12"/>
        <v>0</v>
      </c>
      <c r="Z33" s="234">
        <f t="shared" si="13"/>
        <v>0</v>
      </c>
      <c r="AA33" s="234">
        <f t="shared" si="14"/>
        <v>0</v>
      </c>
      <c r="AB33" s="234">
        <f t="shared" si="15"/>
        <v>0</v>
      </c>
      <c r="AD33" s="235">
        <v>21</v>
      </c>
      <c r="AE33" s="235">
        <f>G33*0.1</f>
        <v>0</v>
      </c>
      <c r="AF33" s="235">
        <f>G33*(1-0.1)</f>
        <v>0</v>
      </c>
    </row>
    <row r="34" spans="1:37" x14ac:dyDescent="0.25">
      <c r="A34" s="229" t="s">
        <v>799</v>
      </c>
      <c r="B34" s="229"/>
      <c r="C34" s="229" t="s">
        <v>800</v>
      </c>
      <c r="D34" s="229" t="s">
        <v>801</v>
      </c>
      <c r="E34" s="229" t="s">
        <v>0</v>
      </c>
      <c r="F34" s="230">
        <v>127.57</v>
      </c>
      <c r="G34" s="231">
        <v>0</v>
      </c>
      <c r="H34" s="230">
        <f t="shared" si="8"/>
        <v>0</v>
      </c>
      <c r="I34" s="230">
        <f t="shared" si="9"/>
        <v>0</v>
      </c>
      <c r="J34" s="230">
        <f t="shared" si="10"/>
        <v>0</v>
      </c>
      <c r="K34" s="230">
        <v>0</v>
      </c>
      <c r="L34" s="230">
        <f t="shared" si="11"/>
        <v>0</v>
      </c>
      <c r="M34" s="232" t="s">
        <v>741</v>
      </c>
      <c r="N34" s="233" t="s">
        <v>77</v>
      </c>
      <c r="O34" s="234">
        <f t="shared" si="12"/>
        <v>0</v>
      </c>
      <c r="Z34" s="234">
        <f t="shared" si="13"/>
        <v>0</v>
      </c>
      <c r="AA34" s="234">
        <f t="shared" si="14"/>
        <v>0</v>
      </c>
      <c r="AB34" s="234">
        <f t="shared" si="15"/>
        <v>0</v>
      </c>
      <c r="AD34" s="235">
        <v>21</v>
      </c>
      <c r="AE34" s="235">
        <f>G34*0</f>
        <v>0</v>
      </c>
      <c r="AF34" s="235">
        <f>G34*(1-0)</f>
        <v>0</v>
      </c>
    </row>
    <row r="35" spans="1:37" x14ac:dyDescent="0.25">
      <c r="A35" s="229" t="s">
        <v>802</v>
      </c>
      <c r="B35" s="229"/>
      <c r="C35" s="229" t="s">
        <v>803</v>
      </c>
      <c r="D35" s="229" t="s">
        <v>804</v>
      </c>
      <c r="E35" s="229" t="s">
        <v>0</v>
      </c>
      <c r="F35" s="230">
        <v>127.57</v>
      </c>
      <c r="G35" s="231">
        <v>0</v>
      </c>
      <c r="H35" s="230">
        <f t="shared" si="8"/>
        <v>0</v>
      </c>
      <c r="I35" s="230">
        <f t="shared" si="9"/>
        <v>0</v>
      </c>
      <c r="J35" s="230">
        <f t="shared" si="10"/>
        <v>0</v>
      </c>
      <c r="K35" s="230">
        <v>0</v>
      </c>
      <c r="L35" s="230">
        <f t="shared" si="11"/>
        <v>0</v>
      </c>
      <c r="M35" s="232" t="s">
        <v>741</v>
      </c>
      <c r="N35" s="233" t="s">
        <v>77</v>
      </c>
      <c r="O35" s="234">
        <f t="shared" si="12"/>
        <v>0</v>
      </c>
      <c r="Z35" s="234">
        <f t="shared" si="13"/>
        <v>0</v>
      </c>
      <c r="AA35" s="234">
        <f t="shared" si="14"/>
        <v>0</v>
      </c>
      <c r="AB35" s="234">
        <f t="shared" si="15"/>
        <v>0</v>
      </c>
      <c r="AD35" s="235">
        <v>21</v>
      </c>
      <c r="AE35" s="235">
        <f>G35*0</f>
        <v>0</v>
      </c>
      <c r="AF35" s="235">
        <f>G35*(1-0)</f>
        <v>0</v>
      </c>
    </row>
    <row r="36" spans="1:37" x14ac:dyDescent="0.25">
      <c r="A36" s="238"/>
      <c r="B36" s="239"/>
      <c r="C36" s="239" t="s">
        <v>805</v>
      </c>
      <c r="D36" s="371" t="s">
        <v>806</v>
      </c>
      <c r="E36" s="372"/>
      <c r="F36" s="372"/>
      <c r="G36" s="372"/>
      <c r="H36" s="240">
        <f>SUM(H37:H46)</f>
        <v>0</v>
      </c>
      <c r="I36" s="240">
        <f>SUM(I37:I46)</f>
        <v>0</v>
      </c>
      <c r="J36" s="240">
        <f>H36+I36</f>
        <v>0</v>
      </c>
      <c r="K36" s="241"/>
      <c r="L36" s="240">
        <f>SUM(L37:L46)</f>
        <v>3.2674199999999995</v>
      </c>
      <c r="M36" s="241"/>
      <c r="P36" s="228">
        <f>IF(Q36="PR",J36,SUM(O37:O46))</f>
        <v>0</v>
      </c>
      <c r="Q36" s="223" t="s">
        <v>755</v>
      </c>
      <c r="R36" s="228">
        <f>IF(Q36="HS",H36,0)</f>
        <v>0</v>
      </c>
      <c r="S36" s="228">
        <f>IF(Q36="HS",I36-P36,0)</f>
        <v>0</v>
      </c>
      <c r="T36" s="228">
        <f>IF(Q36="PS",H36,0)</f>
        <v>0</v>
      </c>
      <c r="U36" s="228">
        <f>IF(Q36="PS",I36-P36,0)</f>
        <v>0</v>
      </c>
      <c r="V36" s="228">
        <f>IF(Q36="MP",H36,0)</f>
        <v>0</v>
      </c>
      <c r="W36" s="228">
        <f>IF(Q36="MP",I36-P36,0)</f>
        <v>0</v>
      </c>
      <c r="X36" s="228">
        <f>IF(Q36="OM",H36,0)</f>
        <v>0</v>
      </c>
      <c r="Y36" s="223"/>
      <c r="AI36" s="228">
        <f>SUM(Z37:Z46)</f>
        <v>0</v>
      </c>
      <c r="AJ36" s="228">
        <f>SUM(AA37:AA46)</f>
        <v>0</v>
      </c>
      <c r="AK36" s="228">
        <f>SUM(AB37:AB46)</f>
        <v>0</v>
      </c>
    </row>
    <row r="37" spans="1:37" x14ac:dyDescent="0.25">
      <c r="A37" s="229" t="s">
        <v>807</v>
      </c>
      <c r="B37" s="229"/>
      <c r="C37" s="229" t="s">
        <v>808</v>
      </c>
      <c r="D37" s="229" t="s">
        <v>809</v>
      </c>
      <c r="E37" s="229" t="s">
        <v>335</v>
      </c>
      <c r="F37" s="230">
        <v>25</v>
      </c>
      <c r="G37" s="231">
        <v>0</v>
      </c>
      <c r="H37" s="230">
        <f t="shared" ref="H37:H46" si="16">ROUND(F37*AE37,2)</f>
        <v>0</v>
      </c>
      <c r="I37" s="230">
        <f t="shared" ref="I37:I46" si="17">J37-H37</f>
        <v>0</v>
      </c>
      <c r="J37" s="230">
        <f t="shared" ref="J37:J46" si="18">ROUND(F37*G37,2)</f>
        <v>0</v>
      </c>
      <c r="K37" s="230">
        <v>0</v>
      </c>
      <c r="L37" s="230">
        <f t="shared" ref="L37:L46" si="19">F37*K37</f>
        <v>0</v>
      </c>
      <c r="M37" s="232" t="s">
        <v>741</v>
      </c>
      <c r="N37" s="233" t="s">
        <v>77</v>
      </c>
      <c r="O37" s="234">
        <f t="shared" ref="O37:O46" si="20">IF(N37="5",I37,0)</f>
        <v>0</v>
      </c>
      <c r="Z37" s="234">
        <f t="shared" ref="Z37:Z46" si="21">IF(AD37=0,J37,0)</f>
        <v>0</v>
      </c>
      <c r="AA37" s="234">
        <f t="shared" ref="AA37:AA46" si="22">IF(AD37=15,J37,0)</f>
        <v>0</v>
      </c>
      <c r="AB37" s="234">
        <f t="shared" ref="AB37:AB46" si="23">IF(AD37=21,J37,0)</f>
        <v>0</v>
      </c>
      <c r="AD37" s="235">
        <v>21</v>
      </c>
      <c r="AE37" s="235">
        <f>G37*0</f>
        <v>0</v>
      </c>
      <c r="AF37" s="235">
        <f>G37*(1-0)</f>
        <v>0</v>
      </c>
    </row>
    <row r="38" spans="1:37" x14ac:dyDescent="0.25">
      <c r="A38" s="229" t="s">
        <v>810</v>
      </c>
      <c r="B38" s="229"/>
      <c r="C38" s="229" t="s">
        <v>811</v>
      </c>
      <c r="D38" s="229" t="s">
        <v>812</v>
      </c>
      <c r="E38" s="229" t="s">
        <v>335</v>
      </c>
      <c r="F38" s="230">
        <v>25</v>
      </c>
      <c r="G38" s="231">
        <v>0</v>
      </c>
      <c r="H38" s="230">
        <f t="shared" si="16"/>
        <v>0</v>
      </c>
      <c r="I38" s="230">
        <f t="shared" si="17"/>
        <v>0</v>
      </c>
      <c r="J38" s="230">
        <f t="shared" si="18"/>
        <v>0</v>
      </c>
      <c r="K38" s="230">
        <v>0</v>
      </c>
      <c r="L38" s="230">
        <f t="shared" si="19"/>
        <v>0</v>
      </c>
      <c r="M38" s="232" t="s">
        <v>741</v>
      </c>
      <c r="N38" s="233" t="s">
        <v>77</v>
      </c>
      <c r="O38" s="234">
        <f t="shared" si="20"/>
        <v>0</v>
      </c>
      <c r="Z38" s="234">
        <f t="shared" si="21"/>
        <v>0</v>
      </c>
      <c r="AA38" s="234">
        <f t="shared" si="22"/>
        <v>0</v>
      </c>
      <c r="AB38" s="234">
        <f t="shared" si="23"/>
        <v>0</v>
      </c>
      <c r="AD38" s="235">
        <v>21</v>
      </c>
      <c r="AE38" s="235">
        <f>G38*0</f>
        <v>0</v>
      </c>
      <c r="AF38" s="235">
        <f>G38*(1-0)</f>
        <v>0</v>
      </c>
    </row>
    <row r="39" spans="1:37" x14ac:dyDescent="0.25">
      <c r="A39" s="229" t="s">
        <v>813</v>
      </c>
      <c r="B39" s="229"/>
      <c r="C39" s="229" t="s">
        <v>814</v>
      </c>
      <c r="D39" s="229" t="s">
        <v>815</v>
      </c>
      <c r="E39" s="229" t="s">
        <v>335</v>
      </c>
      <c r="F39" s="230">
        <v>25</v>
      </c>
      <c r="G39" s="231">
        <v>0</v>
      </c>
      <c r="H39" s="230">
        <f t="shared" si="16"/>
        <v>0</v>
      </c>
      <c r="I39" s="230">
        <f t="shared" si="17"/>
        <v>0</v>
      </c>
      <c r="J39" s="230">
        <f t="shared" si="18"/>
        <v>0</v>
      </c>
      <c r="K39" s="230">
        <v>6.6299999999999998E-2</v>
      </c>
      <c r="L39" s="230">
        <f t="shared" si="19"/>
        <v>1.6575</v>
      </c>
      <c r="M39" s="232" t="s">
        <v>741</v>
      </c>
      <c r="N39" s="233" t="s">
        <v>77</v>
      </c>
      <c r="O39" s="234">
        <f t="shared" si="20"/>
        <v>0</v>
      </c>
      <c r="Z39" s="234">
        <f t="shared" si="21"/>
        <v>0</v>
      </c>
      <c r="AA39" s="234">
        <f t="shared" si="22"/>
        <v>0</v>
      </c>
      <c r="AB39" s="234">
        <f t="shared" si="23"/>
        <v>0</v>
      </c>
      <c r="AD39" s="235">
        <v>21</v>
      </c>
      <c r="AE39" s="235">
        <f>G39*0.549614395886889</f>
        <v>0</v>
      </c>
      <c r="AF39" s="235">
        <f>G39*(1-0.549614395886889)</f>
        <v>0</v>
      </c>
    </row>
    <row r="40" spans="1:37" x14ac:dyDescent="0.25">
      <c r="A40" s="229" t="s">
        <v>816</v>
      </c>
      <c r="B40" s="229"/>
      <c r="C40" s="229" t="s">
        <v>817</v>
      </c>
      <c r="D40" s="229" t="s">
        <v>818</v>
      </c>
      <c r="E40" s="229" t="s">
        <v>335</v>
      </c>
      <c r="F40" s="230">
        <v>25</v>
      </c>
      <c r="G40" s="231">
        <v>0</v>
      </c>
      <c r="H40" s="230">
        <f t="shared" si="16"/>
        <v>0</v>
      </c>
      <c r="I40" s="230">
        <f t="shared" si="17"/>
        <v>0</v>
      </c>
      <c r="J40" s="230">
        <f t="shared" si="18"/>
        <v>0</v>
      </c>
      <c r="K40" s="230">
        <v>3.1E-4</v>
      </c>
      <c r="L40" s="230">
        <f t="shared" si="19"/>
        <v>7.7499999999999999E-3</v>
      </c>
      <c r="M40" s="232" t="s">
        <v>741</v>
      </c>
      <c r="N40" s="233" t="s">
        <v>77</v>
      </c>
      <c r="O40" s="234">
        <f t="shared" si="20"/>
        <v>0</v>
      </c>
      <c r="Z40" s="234">
        <f t="shared" si="21"/>
        <v>0</v>
      </c>
      <c r="AA40" s="234">
        <f t="shared" si="22"/>
        <v>0</v>
      </c>
      <c r="AB40" s="234">
        <f t="shared" si="23"/>
        <v>0</v>
      </c>
      <c r="AD40" s="235">
        <v>21</v>
      </c>
      <c r="AE40" s="235">
        <f>G40*0.451428571428571</f>
        <v>0</v>
      </c>
      <c r="AF40" s="235">
        <f>G40*(1-0.451428571428571)</f>
        <v>0</v>
      </c>
    </row>
    <row r="41" spans="1:37" x14ac:dyDescent="0.25">
      <c r="A41" s="229" t="s">
        <v>819</v>
      </c>
      <c r="B41" s="229"/>
      <c r="C41" s="229" t="s">
        <v>820</v>
      </c>
      <c r="D41" s="229" t="s">
        <v>821</v>
      </c>
      <c r="E41" s="229" t="s">
        <v>335</v>
      </c>
      <c r="F41" s="230">
        <v>1</v>
      </c>
      <c r="G41" s="231">
        <v>0</v>
      </c>
      <c r="H41" s="230">
        <f t="shared" si="16"/>
        <v>0</v>
      </c>
      <c r="I41" s="230">
        <f t="shared" si="17"/>
        <v>0</v>
      </c>
      <c r="J41" s="230">
        <f t="shared" si="18"/>
        <v>0</v>
      </c>
      <c r="K41" s="230">
        <v>1.09E-3</v>
      </c>
      <c r="L41" s="230">
        <f t="shared" si="19"/>
        <v>1.09E-3</v>
      </c>
      <c r="M41" s="232" t="s">
        <v>741</v>
      </c>
      <c r="N41" s="233" t="s">
        <v>77</v>
      </c>
      <c r="O41" s="234">
        <f t="shared" si="20"/>
        <v>0</v>
      </c>
      <c r="Z41" s="234">
        <f t="shared" si="21"/>
        <v>0</v>
      </c>
      <c r="AA41" s="234">
        <f t="shared" si="22"/>
        <v>0</v>
      </c>
      <c r="AB41" s="234">
        <f t="shared" si="23"/>
        <v>0</v>
      </c>
      <c r="AD41" s="235">
        <v>21</v>
      </c>
      <c r="AE41" s="235">
        <f>G41*0.805939393939394</f>
        <v>0</v>
      </c>
      <c r="AF41" s="235">
        <f>G41*(1-0.805939393939394)</f>
        <v>0</v>
      </c>
    </row>
    <row r="42" spans="1:37" x14ac:dyDescent="0.25">
      <c r="A42" s="229" t="s">
        <v>822</v>
      </c>
      <c r="B42" s="229"/>
      <c r="C42" s="229" t="s">
        <v>823</v>
      </c>
      <c r="D42" s="229" t="s">
        <v>824</v>
      </c>
      <c r="E42" s="229" t="s">
        <v>158</v>
      </c>
      <c r="F42" s="230">
        <v>8.75</v>
      </c>
      <c r="G42" s="231">
        <v>0</v>
      </c>
      <c r="H42" s="230">
        <f t="shared" si="16"/>
        <v>0</v>
      </c>
      <c r="I42" s="230">
        <f t="shared" si="17"/>
        <v>0</v>
      </c>
      <c r="J42" s="230">
        <f t="shared" si="18"/>
        <v>0</v>
      </c>
      <c r="K42" s="230">
        <v>0</v>
      </c>
      <c r="L42" s="230">
        <f t="shared" si="19"/>
        <v>0</v>
      </c>
      <c r="M42" s="232" t="s">
        <v>741</v>
      </c>
      <c r="N42" s="233" t="s">
        <v>77</v>
      </c>
      <c r="O42" s="234">
        <f t="shared" si="20"/>
        <v>0</v>
      </c>
      <c r="Z42" s="234">
        <f t="shared" si="21"/>
        <v>0</v>
      </c>
      <c r="AA42" s="234">
        <f t="shared" si="22"/>
        <v>0</v>
      </c>
      <c r="AB42" s="234">
        <f t="shared" si="23"/>
        <v>0</v>
      </c>
      <c r="AD42" s="235">
        <v>21</v>
      </c>
      <c r="AE42" s="235">
        <f>G42*0</f>
        <v>0</v>
      </c>
      <c r="AF42" s="235">
        <f>G42*(1-0)</f>
        <v>0</v>
      </c>
    </row>
    <row r="43" spans="1:37" x14ac:dyDescent="0.25">
      <c r="A43" s="229" t="s">
        <v>825</v>
      </c>
      <c r="B43" s="229"/>
      <c r="C43" s="229" t="s">
        <v>826</v>
      </c>
      <c r="D43" s="229" t="s">
        <v>827</v>
      </c>
      <c r="E43" s="229" t="s">
        <v>315</v>
      </c>
      <c r="F43" s="230">
        <v>1</v>
      </c>
      <c r="G43" s="231">
        <v>0</v>
      </c>
      <c r="H43" s="230">
        <f t="shared" si="16"/>
        <v>0</v>
      </c>
      <c r="I43" s="230">
        <f t="shared" si="17"/>
        <v>0</v>
      </c>
      <c r="J43" s="230">
        <f t="shared" si="18"/>
        <v>0</v>
      </c>
      <c r="K43" s="230">
        <v>7.1399999999999996E-3</v>
      </c>
      <c r="L43" s="230">
        <f t="shared" si="19"/>
        <v>7.1399999999999996E-3</v>
      </c>
      <c r="M43" s="232" t="s">
        <v>741</v>
      </c>
      <c r="N43" s="233" t="s">
        <v>77</v>
      </c>
      <c r="O43" s="234">
        <f t="shared" si="20"/>
        <v>0</v>
      </c>
      <c r="Z43" s="234">
        <f t="shared" si="21"/>
        <v>0</v>
      </c>
      <c r="AA43" s="234">
        <f t="shared" si="22"/>
        <v>0</v>
      </c>
      <c r="AB43" s="234">
        <f t="shared" si="23"/>
        <v>0</v>
      </c>
      <c r="AD43" s="235">
        <v>21</v>
      </c>
      <c r="AE43" s="235">
        <f>G43*0.018273381294964</f>
        <v>0</v>
      </c>
      <c r="AF43" s="235">
        <f>G43*(1-0.018273381294964)</f>
        <v>0</v>
      </c>
    </row>
    <row r="44" spans="1:37" x14ac:dyDescent="0.25">
      <c r="A44" s="229" t="s">
        <v>828</v>
      </c>
      <c r="B44" s="229"/>
      <c r="C44" s="229" t="s">
        <v>829</v>
      </c>
      <c r="D44" s="229" t="s">
        <v>830</v>
      </c>
      <c r="E44" s="229" t="s">
        <v>315</v>
      </c>
      <c r="F44" s="230">
        <v>2</v>
      </c>
      <c r="G44" s="231">
        <v>0</v>
      </c>
      <c r="H44" s="230">
        <f t="shared" si="16"/>
        <v>0</v>
      </c>
      <c r="I44" s="230">
        <f t="shared" si="17"/>
        <v>0</v>
      </c>
      <c r="J44" s="230">
        <f t="shared" si="18"/>
        <v>0</v>
      </c>
      <c r="K44" s="230">
        <v>4.5469999999999997E-2</v>
      </c>
      <c r="L44" s="230">
        <f t="shared" si="19"/>
        <v>9.0939999999999993E-2</v>
      </c>
      <c r="M44" s="232" t="s">
        <v>741</v>
      </c>
      <c r="N44" s="233" t="s">
        <v>77</v>
      </c>
      <c r="O44" s="234">
        <f t="shared" si="20"/>
        <v>0</v>
      </c>
      <c r="Z44" s="234">
        <f t="shared" si="21"/>
        <v>0</v>
      </c>
      <c r="AA44" s="234">
        <f t="shared" si="22"/>
        <v>0</v>
      </c>
      <c r="AB44" s="234">
        <f t="shared" si="23"/>
        <v>0</v>
      </c>
      <c r="AD44" s="235">
        <v>21</v>
      </c>
      <c r="AE44" s="235">
        <f>G44*0.329829619921363</f>
        <v>0</v>
      </c>
      <c r="AF44" s="235">
        <f>G44*(1-0.329829619921363)</f>
        <v>0</v>
      </c>
    </row>
    <row r="45" spans="1:37" x14ac:dyDescent="0.25">
      <c r="A45" s="229" t="s">
        <v>831</v>
      </c>
      <c r="B45" s="229"/>
      <c r="C45" s="229" t="s">
        <v>832</v>
      </c>
      <c r="D45" s="229" t="s">
        <v>833</v>
      </c>
      <c r="E45" s="229" t="s">
        <v>315</v>
      </c>
      <c r="F45" s="230">
        <v>1</v>
      </c>
      <c r="G45" s="231">
        <v>0</v>
      </c>
      <c r="H45" s="230">
        <f t="shared" si="16"/>
        <v>0</v>
      </c>
      <c r="I45" s="230">
        <f t="shared" si="17"/>
        <v>0</v>
      </c>
      <c r="J45" s="230">
        <f t="shared" si="18"/>
        <v>0</v>
      </c>
      <c r="K45" s="230">
        <v>0</v>
      </c>
      <c r="L45" s="230">
        <f t="shared" si="19"/>
        <v>0</v>
      </c>
      <c r="M45" s="232" t="s">
        <v>741</v>
      </c>
      <c r="N45" s="233" t="s">
        <v>77</v>
      </c>
      <c r="O45" s="234">
        <f t="shared" si="20"/>
        <v>0</v>
      </c>
      <c r="Z45" s="234">
        <f t="shared" si="21"/>
        <v>0</v>
      </c>
      <c r="AA45" s="234">
        <f t="shared" si="22"/>
        <v>0</v>
      </c>
      <c r="AB45" s="234">
        <f t="shared" si="23"/>
        <v>0</v>
      </c>
      <c r="AD45" s="235">
        <v>21</v>
      </c>
      <c r="AE45" s="235">
        <f>G45*0</f>
        <v>0</v>
      </c>
      <c r="AF45" s="235">
        <f>G45*(1-0)</f>
        <v>0</v>
      </c>
    </row>
    <row r="46" spans="1:37" x14ac:dyDescent="0.25">
      <c r="A46" s="242" t="s">
        <v>667</v>
      </c>
      <c r="B46" s="242"/>
      <c r="C46" s="242" t="s">
        <v>834</v>
      </c>
      <c r="D46" s="242" t="s">
        <v>835</v>
      </c>
      <c r="E46" s="242" t="s">
        <v>145</v>
      </c>
      <c r="F46" s="243">
        <v>0.9</v>
      </c>
      <c r="G46" s="244">
        <v>0</v>
      </c>
      <c r="H46" s="243">
        <f t="shared" si="16"/>
        <v>0</v>
      </c>
      <c r="I46" s="243">
        <f t="shared" si="17"/>
        <v>0</v>
      </c>
      <c r="J46" s="243">
        <f t="shared" si="18"/>
        <v>0</v>
      </c>
      <c r="K46" s="243">
        <v>1.67</v>
      </c>
      <c r="L46" s="243">
        <f t="shared" si="19"/>
        <v>1.5029999999999999</v>
      </c>
      <c r="M46" s="245" t="s">
        <v>741</v>
      </c>
      <c r="N46" s="236" t="s">
        <v>744</v>
      </c>
      <c r="O46" s="237">
        <f t="shared" si="20"/>
        <v>0</v>
      </c>
      <c r="Z46" s="237">
        <f t="shared" si="21"/>
        <v>0</v>
      </c>
      <c r="AA46" s="237">
        <f t="shared" si="22"/>
        <v>0</v>
      </c>
      <c r="AB46" s="237">
        <f t="shared" si="23"/>
        <v>0</v>
      </c>
      <c r="AD46" s="235">
        <v>21</v>
      </c>
      <c r="AE46" s="235">
        <f>G46*1</f>
        <v>0</v>
      </c>
      <c r="AF46" s="235">
        <f>G46*(1-1)</f>
        <v>0</v>
      </c>
    </row>
    <row r="47" spans="1:37" x14ac:dyDescent="0.25">
      <c r="A47" s="246"/>
      <c r="B47" s="246"/>
      <c r="C47" s="246"/>
      <c r="D47" s="246"/>
      <c r="E47" s="246"/>
      <c r="F47" s="246"/>
      <c r="G47" s="246"/>
      <c r="H47" s="373" t="s">
        <v>836</v>
      </c>
      <c r="I47" s="374"/>
      <c r="J47" s="247">
        <f>J12+J19+J36</f>
        <v>0</v>
      </c>
      <c r="K47" s="246"/>
      <c r="L47" s="246"/>
      <c r="M47" s="246"/>
      <c r="Z47" s="248">
        <f>SUM(Z13:Z46)</f>
        <v>0</v>
      </c>
      <c r="AA47" s="248">
        <f>SUM(AA13:AA46)</f>
        <v>0</v>
      </c>
      <c r="AB47" s="248">
        <f>SUM(AB13:AB46)</f>
        <v>0</v>
      </c>
    </row>
    <row r="48" spans="1:37" ht="11.25" customHeight="1" x14ac:dyDescent="0.25">
      <c r="A48" s="249" t="s">
        <v>710</v>
      </c>
    </row>
    <row r="49" spans="1:13" ht="409.5" hidden="1" customHeight="1" x14ac:dyDescent="0.25">
      <c r="A49" s="333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</row>
  </sheetData>
  <sheetProtection algorithmName="SHA-512" hashValue="e4f56e+PI0a3rKTPo6NZuHC6TVlH9if8qx5Ic+XTEc+ZtlRjjE+2FRMm8IZuLTnB2yFoh5pT6W+g1P2w7Z/Kww==" saltValue="TjqmQshFRvgYFf9eiZt08A==" spinCount="100000" sheet="1" objects="1" scenarios="1"/>
  <protectedRanges>
    <protectedRange sqref="G13:G18 G20:G35 G37:G46" name="Oblast1"/>
  </protectedRanges>
  <mergeCells count="32">
    <mergeCell ref="A49:M49"/>
    <mergeCell ref="H10:J10"/>
    <mergeCell ref="K10:L10"/>
    <mergeCell ref="D12:G12"/>
    <mergeCell ref="D19:G19"/>
    <mergeCell ref="D36:G36"/>
    <mergeCell ref="H47:I47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56</vt:i4>
      </vt:variant>
    </vt:vector>
  </HeadingPairs>
  <TitlesOfParts>
    <vt:vector size="67" baseType="lpstr">
      <vt:lpstr>Pokyny pro vyplnění</vt:lpstr>
      <vt:lpstr>Stavba</vt:lpstr>
      <vt:lpstr>VzorPolozky</vt:lpstr>
      <vt:lpstr>01 OVN Pol</vt:lpstr>
      <vt:lpstr>01 SO 01 Pol</vt:lpstr>
      <vt:lpstr>01 SO 02 Pol</vt:lpstr>
      <vt:lpstr>01 SO 03 Pol</vt:lpstr>
      <vt:lpstr>01 SO 04 Pol</vt:lpstr>
      <vt:lpstr>01 SO 05 Pol</vt:lpstr>
      <vt:lpstr>Krycí list rozpočtu</vt:lpstr>
      <vt:lpstr>Stavební rozpočet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'01 OVN Pol'!Názvy_tisku</vt:lpstr>
      <vt:lpstr>'01 SO 01 Pol'!Názvy_tisku</vt:lpstr>
      <vt:lpstr>'01 SO 02 Pol'!Názvy_tisku</vt:lpstr>
      <vt:lpstr>'01 SO 03 Pol'!Názvy_tisku</vt:lpstr>
      <vt:lpstr>'01 SO 04 Pol'!Názvy_tisku</vt:lpstr>
      <vt:lpstr>'01 SO 05 Pol'!Názvy_tisku</vt:lpstr>
      <vt:lpstr>oadresa</vt:lpstr>
      <vt:lpstr>Stavba!Objednatel</vt:lpstr>
      <vt:lpstr>Stavba!Objekt</vt:lpstr>
      <vt:lpstr>'01 OVN Pol'!Oblast_tisku</vt:lpstr>
      <vt:lpstr>'01 SO 01 Pol'!Oblast_tisku</vt:lpstr>
      <vt:lpstr>'01 SO 02 Pol'!Oblast_tisku</vt:lpstr>
      <vt:lpstr>'01 SO 03 Pol'!Oblast_tisku</vt:lpstr>
      <vt:lpstr>'01 SO 04 Pol'!Oblast_tisku</vt:lpstr>
      <vt:lpstr>'01 SO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Eva Kaštovská</cp:lastModifiedBy>
  <cp:lastPrinted>2019-03-19T12:27:02Z</cp:lastPrinted>
  <dcterms:created xsi:type="dcterms:W3CDTF">2009-04-08T07:15:50Z</dcterms:created>
  <dcterms:modified xsi:type="dcterms:W3CDTF">2020-03-18T08:11:41Z</dcterms:modified>
</cp:coreProperties>
</file>