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Krycí list rozpočtu (SO1)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<sst xmlns="http://schemas.openxmlformats.org/spreadsheetml/2006/main" count="2303" uniqueCount="794">
  <si>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</si>
  <si>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</si>
  <si>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</si>
  <si>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</si>
  <si>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</si>
  <si>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</si>
  <si>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</si>
  <si>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</si>
  <si>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</si>
  <si>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</si>
  <si>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</si>
  <si>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</si>
  <si>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</si>
  <si>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</si>
  <si>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</si>
  <si>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</si>
  <si>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</si>
  <si>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</si>
  <si>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</si>
  <si>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</si>
  <si>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</si>
  <si>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</si>
  <si>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</si>
  <si>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</si>
  <si>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</si>
  <si>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</si>
  <si>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</si>
  <si>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</si>
  <si>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</si>
  <si>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</si>
  <si>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</si>
  <si>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</si>
  <si>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</si>
  <si>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</si>
  <si>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</si>
  <si>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</si>
  <si>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</si>
  <si>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</si>
  <si>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</si>
  <si>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</si>
  <si>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</si>
  <si>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</si>
  <si>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</si>
  <si>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</si>
  <si>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</si>
  <si>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</si>
  <si>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</si>
  <si>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</si>
  <si>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</si>
  <si>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</si>
  <si>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</si>
  <si>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</si>
  <si>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</si>
  <si>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</si>
  <si>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</si>
  <si>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</si>
  <si>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</si>
  <si>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</si>
  <si>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</si>
  <si>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</si>
  <si>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</si>
  <si>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</si>
  <si>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</si>
  <si>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</si>
  <si>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</si>
  <si>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</si>
  <si>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</si>
  <si>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</si>
  <si>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</si>
  <si>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</si>
  <si>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</si>
  <si>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</si>
  <si>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</si>
  <si>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</si>
  <si>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</si>
  <si>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</si>
  <si>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</si>
  <si>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</si>
  <si>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</si>
  <si>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</si>
  <si>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</si>
  <si>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</si>
  <si>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</si>
  <si>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</si>
  <si>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</si>
  <si>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</si>
  <si>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</si>
  <si>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</si>
  <si>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</si>
  <si>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</si>
  <si>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</si>
  <si>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</si>
  <si>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</si>
  <si>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</si>
  <si>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</si>
  <si>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</si>
  <si>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</si>
  <si>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</si>
  <si>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</si>
  <si>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</si>
  <si>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</si>
  <si>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</si>
  <si>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</si>
  <si>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</si>
  <si>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</si>
  <si>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</si>
  <si>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</si>
  <si>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</si>
  <si>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</si>
  <si>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</si>
  <si>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</si>
  <si>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</si>
  <si>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</si>
  <si>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</si>
  <si>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</si>
  <si>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</si>
  <si>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</si>
  <si>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</si>
  <si>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</si>
  <si>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</si>
  <si>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</si>
  <si>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</si>
  <si>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</si>
  <si>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</si>
  <si>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</si>
  <si>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</si>
  <si>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</si>
  <si>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</si>
  <si>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</si>
  <si>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</si>
  <si>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</si>
  <si>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</si>
  <si>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</si>
  <si>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</si>
  <si>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</si>
  <si>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</si>
  <si>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</si>
  <si>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Poznámka:</t>
  </si>
  <si>
    <t>S01 - Etapa 1_Stavební práce od rohu vstupní rampy po garáže areálu
S02 - Etapa 2_Stavební práce od rohu vstupní rampy po zaádní schodiště areálu</t>
  </si>
  <si>
    <t>Kód</t>
  </si>
  <si>
    <t>113106121R00</t>
  </si>
  <si>
    <t>113105113R00</t>
  </si>
  <si>
    <t>113106221R00</t>
  </si>
  <si>
    <t>938901101R00</t>
  </si>
  <si>
    <t>113201111R00</t>
  </si>
  <si>
    <t>131100010RA0</t>
  </si>
  <si>
    <t>130901121R00</t>
  </si>
  <si>
    <t>161101101R00</t>
  </si>
  <si>
    <t>162201203R00</t>
  </si>
  <si>
    <t>162201101R00</t>
  </si>
  <si>
    <t>460600001RT7</t>
  </si>
  <si>
    <t>Varianta:</t>
  </si>
  <si>
    <t>199000002R00</t>
  </si>
  <si>
    <t>182001132R00</t>
  </si>
  <si>
    <t>182001111R00</t>
  </si>
  <si>
    <t>460620006R00</t>
  </si>
  <si>
    <t>771249113R00</t>
  </si>
  <si>
    <t>627452145R00</t>
  </si>
  <si>
    <t>596811111R00</t>
  </si>
  <si>
    <t>596841111R00</t>
  </si>
  <si>
    <t>591211111R00</t>
  </si>
  <si>
    <t>58380129</t>
  </si>
  <si>
    <t>917862111R00</t>
  </si>
  <si>
    <t>174101101R00</t>
  </si>
  <si>
    <t>174101102R00</t>
  </si>
  <si>
    <t>58344197</t>
  </si>
  <si>
    <t>998222011R00</t>
  </si>
  <si>
    <t>998222093R00</t>
  </si>
  <si>
    <t>962032231R00</t>
  </si>
  <si>
    <t>311231114R00</t>
  </si>
  <si>
    <t>319201311R00</t>
  </si>
  <si>
    <t>281606123R00</t>
  </si>
  <si>
    <t>274311116R00</t>
  </si>
  <si>
    <t>711140202R00</t>
  </si>
  <si>
    <t>622903111R00</t>
  </si>
  <si>
    <t>978015291R00</t>
  </si>
  <si>
    <t>620401152R00a</t>
  </si>
  <si>
    <t>602016103RT3a</t>
  </si>
  <si>
    <t>602021152RT2</t>
  </si>
  <si>
    <t>602021152RT1</t>
  </si>
  <si>
    <t>784402801R00</t>
  </si>
  <si>
    <t>622471318RS8</t>
  </si>
  <si>
    <t>711</t>
  </si>
  <si>
    <t>711823121R00a</t>
  </si>
  <si>
    <t>283220192a</t>
  </si>
  <si>
    <t>711823121R00</t>
  </si>
  <si>
    <t>28323110</t>
  </si>
  <si>
    <t>711823129R00</t>
  </si>
  <si>
    <t>55326200</t>
  </si>
  <si>
    <t>711212321R00i</t>
  </si>
  <si>
    <t>319211332R00a</t>
  </si>
  <si>
    <t>998711101R00</t>
  </si>
  <si>
    <t>721</t>
  </si>
  <si>
    <t>721110806R00</t>
  </si>
  <si>
    <t>721110918R00</t>
  </si>
  <si>
    <t>721170967R00</t>
  </si>
  <si>
    <t>721176224R00</t>
  </si>
  <si>
    <t>721242804R00</t>
  </si>
  <si>
    <t>721242804R00a</t>
  </si>
  <si>
    <t>28698392</t>
  </si>
  <si>
    <t>721290112R00</t>
  </si>
  <si>
    <t>894431122RBA</t>
  </si>
  <si>
    <t>938902122R00</t>
  </si>
  <si>
    <t>998721101R00</t>
  </si>
  <si>
    <t>978013191R00</t>
  </si>
  <si>
    <t>776401800R00</t>
  </si>
  <si>
    <t>776511810R00</t>
  </si>
  <si>
    <t>776101101R00</t>
  </si>
  <si>
    <t>776572200R00</t>
  </si>
  <si>
    <t>776431010R00</t>
  </si>
  <si>
    <t>998776101R00</t>
  </si>
  <si>
    <t>771</t>
  </si>
  <si>
    <t>771475014R00</t>
  </si>
  <si>
    <t>597642030</t>
  </si>
  <si>
    <t>998771101R00</t>
  </si>
  <si>
    <t>782</t>
  </si>
  <si>
    <t>782111130R00a</t>
  </si>
  <si>
    <t>627452101R00a</t>
  </si>
  <si>
    <t>735</t>
  </si>
  <si>
    <t>735121810R00</t>
  </si>
  <si>
    <t>735129140R00</t>
  </si>
  <si>
    <t>734263132R00</t>
  </si>
  <si>
    <t>733160801R00</t>
  </si>
  <si>
    <t>733163103R00</t>
  </si>
  <si>
    <t>733190106R00</t>
  </si>
  <si>
    <t>735128110R00</t>
  </si>
  <si>
    <t>733161962R00</t>
  </si>
  <si>
    <t>733161902R00</t>
  </si>
  <si>
    <t>001VD</t>
  </si>
  <si>
    <t>733890801R00</t>
  </si>
  <si>
    <t>764</t>
  </si>
  <si>
    <t>764554702R00</t>
  </si>
  <si>
    <t>998764101R00</t>
  </si>
  <si>
    <t>963015141R00</t>
  </si>
  <si>
    <t>465220111R00</t>
  </si>
  <si>
    <t>784</t>
  </si>
  <si>
    <t>784011222R00</t>
  </si>
  <si>
    <t>784011221R00</t>
  </si>
  <si>
    <t>784225113R00</t>
  </si>
  <si>
    <t>971052331R00</t>
  </si>
  <si>
    <t>871219113R00</t>
  </si>
  <si>
    <t>28611233</t>
  </si>
  <si>
    <t>28655935</t>
  </si>
  <si>
    <t>28655913</t>
  </si>
  <si>
    <t>28655904</t>
  </si>
  <si>
    <t>28651691.A</t>
  </si>
  <si>
    <t>289970111R00</t>
  </si>
  <si>
    <t>998311011R00</t>
  </si>
  <si>
    <t>002VD</t>
  </si>
  <si>
    <t>979081111R00a</t>
  </si>
  <si>
    <t>892601123R00</t>
  </si>
  <si>
    <t>941955001R00</t>
  </si>
  <si>
    <t>952901411R00</t>
  </si>
  <si>
    <t>H01</t>
  </si>
  <si>
    <t>998011001R00</t>
  </si>
  <si>
    <t>M21</t>
  </si>
  <si>
    <t>222281251R00</t>
  </si>
  <si>
    <t>210010311RT1</t>
  </si>
  <si>
    <t>210100060R00</t>
  </si>
  <si>
    <t>220271509R00</t>
  </si>
  <si>
    <t>210220002RT2</t>
  </si>
  <si>
    <t>220890202R00</t>
  </si>
  <si>
    <t>V2</t>
  </si>
  <si>
    <t>220711603R00</t>
  </si>
  <si>
    <t>S</t>
  </si>
  <si>
    <t>979082111R00</t>
  </si>
  <si>
    <t>979082121R00</t>
  </si>
  <si>
    <t>979086112R00</t>
  </si>
  <si>
    <t>979081111R00</t>
  </si>
  <si>
    <t>979081121R00</t>
  </si>
  <si>
    <t>979990121R00</t>
  </si>
  <si>
    <t>979990001R00</t>
  </si>
  <si>
    <t>979990191R00</t>
  </si>
  <si>
    <t>0</t>
  </si>
  <si>
    <t>Sanace a stavební úpravy knihovny v Novém Jičíně</t>
  </si>
  <si>
    <t>Sanace spodní stavby, stavební úpravy</t>
  </si>
  <si>
    <t>Zkrácený popis / Varianta</t>
  </si>
  <si>
    <t>Rozměry</t>
  </si>
  <si>
    <t>1.Etapa_Sanace, stavební úpravy 1.PP</t>
  </si>
  <si>
    <t>Přípravné a přidružené práce</t>
  </si>
  <si>
    <t>Rozebrání dlažeb z betonových dlaždic na sucho</t>
  </si>
  <si>
    <t>Rozebrání dlažeb z lom. kamene do MC, spáry s MC</t>
  </si>
  <si>
    <t>Rozebrání dlažeb z drobných kostek v kam. těženém</t>
  </si>
  <si>
    <t>29+8</t>
  </si>
  <si>
    <t>Očištění dlažby z lom.kam./ bet. desek od porostu</t>
  </si>
  <si>
    <t>Vytrhání obrubníků chodníkových a parkových</t>
  </si>
  <si>
    <t>1,5+1,5+1,5</t>
  </si>
  <si>
    <t>Hloubené vykopávky</t>
  </si>
  <si>
    <t>Hloubení nezapažených jam v hornině1-4</t>
  </si>
  <si>
    <t>0,4*1,4*32</t>
  </si>
  <si>
    <t>0,5*0,5*32</t>
  </si>
  <si>
    <t>0,6*1,2*7</t>
  </si>
  <si>
    <t>0,7*0,65*13</t>
  </si>
  <si>
    <t>0,6*1*10</t>
  </si>
  <si>
    <t>0,8*2*6,5</t>
  </si>
  <si>
    <t>0,6*1*8</t>
  </si>
  <si>
    <t>0,6*1,2*35</t>
  </si>
  <si>
    <t>0,8*1,2*5</t>
  </si>
  <si>
    <t>1*1*1*2</t>
  </si>
  <si>
    <t>Bourání konstrukcí z betonu prostého ve vykopávk.</t>
  </si>
  <si>
    <t>0,5*0,5*0,5</t>
  </si>
  <si>
    <t>Přemístění výkopku</t>
  </si>
  <si>
    <t>Svislé přemístění výkopku z hor.1-4</t>
  </si>
  <si>
    <t>0,6*0,2*7</t>
  </si>
  <si>
    <t>0,6*0,2*35</t>
  </si>
  <si>
    <t>0,8*0,2*5</t>
  </si>
  <si>
    <t>Vodorovné přemíst.výkopku, kolečko hor.1-4, do 10m</t>
  </si>
  <si>
    <t>Vodorovné přemístění výkopku z hor.1-4 do 20 m</t>
  </si>
  <si>
    <t>Naložení a odvoz zeminy</t>
  </si>
  <si>
    <t>odvoz na vzdálenost 9000 m</t>
  </si>
  <si>
    <t>Poplatek za skládku horniny 1- 4</t>
  </si>
  <si>
    <t>Povrchové úpravy terénu</t>
  </si>
  <si>
    <t>Plošná úprava terénu, nerovnosti do 20 cm svah 1:2</t>
  </si>
  <si>
    <t>30+17+7+29+7</t>
  </si>
  <si>
    <t>úpráva spádování výkopu</t>
  </si>
  <si>
    <t>Plošná úprava terénu, nerovnosti do 10 cm v rovině</t>
  </si>
  <si>
    <t>5+8+5+17</t>
  </si>
  <si>
    <t>Osetí povrchu trávou</t>
  </si>
  <si>
    <t>3+14</t>
  </si>
  <si>
    <t>Podkladní vrstvy komunikací, letišť a ploch</t>
  </si>
  <si>
    <t>Řezání dlaždic tl. 30 mm diamantovým kotoučem</t>
  </si>
  <si>
    <t>21+2,7+6,3</t>
  </si>
  <si>
    <t>úprava po výkopech</t>
  </si>
  <si>
    <t>Spárování maltou MCs mezi prefabrikovanými dílci</t>
  </si>
  <si>
    <t>19+2,7+6,3</t>
  </si>
  <si>
    <t>výplň spáry mezi dlažbou a zdivem</t>
  </si>
  <si>
    <t>Kladení dlaždic kom.pro pěší, lože z kameniva těž.</t>
  </si>
  <si>
    <t>Kladení dlažby z dlaždic kom.pro pěší do lože z MC</t>
  </si>
  <si>
    <t>Kladení dlažby drobné kostky,lože z kamen.tl. 5 cm</t>
  </si>
  <si>
    <t>Kostka dlažební drobná 10/12 štípaná Itř. 1t=4,0m2</t>
  </si>
  <si>
    <t>2*0,25</t>
  </si>
  <si>
    <t>Osazení stojat. obrub.bet. s opěrou,lože z C 12/15</t>
  </si>
  <si>
    <t>Zásyp jam, rýh, šachet se zhutněním</t>
  </si>
  <si>
    <t>Zásyp ruční se zhutněním</t>
  </si>
  <si>
    <t>Štěrkodrtě frakce 0-63 A</t>
  </si>
  <si>
    <t>0,4*1,4*32*1,8</t>
  </si>
  <si>
    <t>0,5*0,5*32*1,4</t>
  </si>
  <si>
    <t>0,6*0,5*7*1,4</t>
  </si>
  <si>
    <t>0,7*0,65*13*1,8</t>
  </si>
  <si>
    <t>0,3*2*6,5*1,8</t>
  </si>
  <si>
    <t>0,6*0,4*15*1,8</t>
  </si>
  <si>
    <t>1*1*0,4*2*1,8</t>
  </si>
  <si>
    <t>zásyp dle PD</t>
  </si>
  <si>
    <t>Přesun hmot, pozemní komunikace</t>
  </si>
  <si>
    <t>Přesun hmot, komunikace z kameniva, příplatek 3 km</t>
  </si>
  <si>
    <t>Zdi podpěrné a volné</t>
  </si>
  <si>
    <t>Bourání zdiva z cihel pálených na MVC</t>
  </si>
  <si>
    <t>0,5</t>
  </si>
  <si>
    <t>Zdivo nosné cihelné z CP 29 P15 na MVC 2,5</t>
  </si>
  <si>
    <t>přízdívky, obezdívky, dozdívky apod. obnažených konstrukcí</t>
  </si>
  <si>
    <t>Vyrovnání povrchu zdiva maltou tl.do 3 cm</t>
  </si>
  <si>
    <t>Zpevňování hornin a konstrukcí</t>
  </si>
  <si>
    <t>Beztlaková krémová injektáž,zdiva cihel.tl.do 50cm</t>
  </si>
  <si>
    <t>(8,3+9,65+2,75+1+1)*2</t>
  </si>
  <si>
    <t>(2,9+8,3+1+1)*1</t>
  </si>
  <si>
    <t>délky zdiva šířky á 350 mm násobeno 0,8x 
délky zdiva šířky á 650 mm násobeno 1,5x 
délky zdiva šířky á 750 mm násobeno 2x 
těsnění vrtů 2 kg/bm jednostranně viz technická zpráva
těsnění vrtů 4 kg/bm oboustranně viz technická zpráva</t>
  </si>
  <si>
    <t>Základy</t>
  </si>
  <si>
    <t>Beton základ. pasů prostý z cem. portland. C 16/20</t>
  </si>
  <si>
    <t>0,5*0,5*1</t>
  </si>
  <si>
    <t>(0,5*0,5*0,5)*3</t>
  </si>
  <si>
    <t>Úprava povrchů vnější</t>
  </si>
  <si>
    <t>Odstr.izolace proti vlhk.svis. pásy přitav.,2vrs</t>
  </si>
  <si>
    <t>(7,6)*1,1</t>
  </si>
  <si>
    <t>původní svislá hydroizolace zdiva</t>
  </si>
  <si>
    <t>Očištění zdí a valů před opravou, ručně</t>
  </si>
  <si>
    <t>(10,6)*1</t>
  </si>
  <si>
    <t>(6,25+8,25)*0,5</t>
  </si>
  <si>
    <t>přizdívky, nopové folie atd</t>
  </si>
  <si>
    <t>Otlučení omítek vnějších MVC v složit.1-4 do 100 %</t>
  </si>
  <si>
    <t>(1,5+2,5)*3</t>
  </si>
  <si>
    <t>Nástřik sanačním prostředkem k zapouzdření solí obsažených ve zdivu</t>
  </si>
  <si>
    <t>nástřik zdiva pod venkovní sanační omítky
spotřeba 0,5kg/m2</t>
  </si>
  <si>
    <t>Postřik stěn sanační, ručně</t>
  </si>
  <si>
    <t>80 % pokrytí plochy</t>
  </si>
  <si>
    <t>Venkovní sanační omítka fasáda nad terénem členitosti IV. zřízení v rozsahu 100%
Podhoz 10kg/m2</t>
  </si>
  <si>
    <t>Omítka sanační, ručně</t>
  </si>
  <si>
    <t>škrábaná, tloušťka vrstvy 20 mm</t>
  </si>
  <si>
    <t>Venkovní sanační omítka fasáda nad terénem členitosti IV. zřízení v rozsahu 100%
sanční omítka 20kg/2cm/m2</t>
  </si>
  <si>
    <t>Omítka sanační , ručně</t>
  </si>
  <si>
    <t>škrábaná, tloušťka vrstvy 10 mm</t>
  </si>
  <si>
    <t>Venkovní sanační omítka fasády členitosti IV. zřízení v rozsahu 100%
sanční omítka 10kg/1cm/m2</t>
  </si>
  <si>
    <t>Odstranění malby oškrábáním v místnosti H do 3,8 m</t>
  </si>
  <si>
    <t>14,6-12</t>
  </si>
  <si>
    <t>Dle rozsahu v místě nátěru fasády na starých omítkách.</t>
  </si>
  <si>
    <t>Nátěr nebo nástřik stěn vnějších, složitost 3 - 4</t>
  </si>
  <si>
    <t>hmota silikátová Keim barevná skupina II</t>
  </si>
  <si>
    <t>(6,3+1)*2</t>
  </si>
  <si>
    <t>Plochy nové i staré omítky dle rozsahu</t>
  </si>
  <si>
    <t>Izolace proti vodě</t>
  </si>
  <si>
    <t>nástřik zdiva pod venkovní sanační omítky, pod terénem
spotřeba 0,5kg/m2</t>
  </si>
  <si>
    <t>Vyrovnávací sanční omítka pod terénem
Podhoz 12kg/m2</t>
  </si>
  <si>
    <t>Vyrovnávací sanční omítka pod terénem
sanční omítka 10kg/1cm/m2</t>
  </si>
  <si>
    <t>Montáž bentonitové rohože</t>
  </si>
  <si>
    <t>včetně přepáskování spojů hydroizolační páskou, uchycení ke stěně</t>
  </si>
  <si>
    <t>Bentonitová rohož</t>
  </si>
  <si>
    <t>;ztratné 20%; 3,57</t>
  </si>
  <si>
    <t>Montáž nopové fólie svisle</t>
  </si>
  <si>
    <t>(31,4)*2,5</t>
  </si>
  <si>
    <t>(6,25+5,5)*1,2</t>
  </si>
  <si>
    <t>platí i pro položení do vodorovné polohy</t>
  </si>
  <si>
    <t>Fólie nopová s nakašírovanou folii</t>
  </si>
  <si>
    <t>;ztratné 10%; 9,26</t>
  </si>
  <si>
    <t>dle technické zprávy</t>
  </si>
  <si>
    <t>Montáž ukončovací lišty k nopové fólii</t>
  </si>
  <si>
    <t>(31,4)</t>
  </si>
  <si>
    <t>(6,25+5,5)</t>
  </si>
  <si>
    <t>Ukončení nopové folie bude společné s bentonitovou rohoží</t>
  </si>
  <si>
    <t>ukončovací lišta kovová, l = 2 m</t>
  </si>
  <si>
    <t>Dle sytémového řešení bentonitové rohože. 
Ukončení nopové folie bude společné s bentonitovou rohoží</t>
  </si>
  <si>
    <t>Vnitřní hydroizolační systém</t>
  </si>
  <si>
    <t>(8,25*2,65*3,75+7,2)*0,5</t>
  </si>
  <si>
    <t>(2)*1</t>
  </si>
  <si>
    <t>(6,35)*0,5</t>
  </si>
  <si>
    <t>- mineralizace s hloubkovým ochranným účinkem 0,15 kg/m2
- 1x minerální hydroizolační stěrka s vysokou odolností vůči síranům 1,6 kg/m2
- vyrovnání podkladu svislé zdi těsnící maltou s vysokou odolností vůči síranům 8 kg/m2
- minerální hydroizolační stěrka s vysokou odolností vůči síranům 2x1,6 kg/m2</t>
  </si>
  <si>
    <t>Fabion z malty v koutu podlahy r 50 mm</t>
  </si>
  <si>
    <t>(8,25*2,65*3,75+7,2)</t>
  </si>
  <si>
    <t>(2)</t>
  </si>
  <si>
    <t>(6,35)</t>
  </si>
  <si>
    <t>- mineralizace s hloubkovým ochranným účinkem 0,015 kg/mb
- 1x minerální hydroizolační stěrka s vysokou odolností vůči síranům 0,16 kg/mb
- vyrovnání podkladu svislé zdi těsnící maltou s vysokou odolností vůči síranům 2 kg/mb
- minerální hydroizolační stěrka s vysokou odolností vůči síranům 2x0,2 kg/mb</t>
  </si>
  <si>
    <t>Přesun hmot pro izolace proti vodě, výšky do 6 m</t>
  </si>
  <si>
    <t>Vnitřní kanalizace</t>
  </si>
  <si>
    <t>Demontáž potrubí z kameninových trub DN 200</t>
  </si>
  <si>
    <t>Oprava-propojení dosavadního potrubí kamenin.DN200</t>
  </si>
  <si>
    <t>Oprava - propojení dosavadního potrubí PVC D 160</t>
  </si>
  <si>
    <t>1+1</t>
  </si>
  <si>
    <t>1+1+1+1</t>
  </si>
  <si>
    <t>Potrubí KG svodné (ležaté) v zemi D 160 x 4,0 mm</t>
  </si>
  <si>
    <t>Demontáž lapače střešních splavenin DN 125</t>
  </si>
  <si>
    <t>Montáž lapače střešních splavenin DN 110-150</t>
  </si>
  <si>
    <t>Lapač střešních splavenin 300x155/110 boční černý</t>
  </si>
  <si>
    <t>Zkouška těsnosti kanalizace vodou DN 200</t>
  </si>
  <si>
    <t>Šachta, D 315 mm, dl.šach.roury 2,0 m, sběrná</t>
  </si>
  <si>
    <t>dno PP KG D 160 mm, poklop litina 12,5 t</t>
  </si>
  <si>
    <t>- Osazení plastového dna  
- osazení korugované šachtové roury, 
- vložení těsnění
- osazení čtvercového betonového poklopu s rámem B125</t>
  </si>
  <si>
    <t>Čištění ploch betonových konstrukcí tlakovou vodou</t>
  </si>
  <si>
    <t>Vyspravení betonové šachtového dna do výšky 0,5 nad potrubí dna, žlabku, DN šachty á DN 800-1000, DN napojovaného potrubí á DN 200-300</t>
  </si>
  <si>
    <t>Přesun hmot pro vnitřní kanalizaci, výšky do 6 m</t>
  </si>
  <si>
    <t>Úprava povrchů vnitřní</t>
  </si>
  <si>
    <t>Otlučení omítek vnitřních stěn v rozsahu do 100 %</t>
  </si>
  <si>
    <t>(8,25*2,65*3,75+7,2)*1</t>
  </si>
  <si>
    <t>(2)*2,9</t>
  </si>
  <si>
    <t>(6,35)*1,5</t>
  </si>
  <si>
    <t>(6,7+6,7+2,3+2,3)*1,5</t>
  </si>
  <si>
    <t>nástřik zdiva pod vnitřní sanační omítky
spotřeba 0,15kg/m2</t>
  </si>
  <si>
    <t>Vnitřní sanační omítka zřízení v rozsahu 100%
Podhoz 10kg/m2</t>
  </si>
  <si>
    <t>Vnitřní sanační omítka zřízení v rozsahu 100%
sanční omítka 20kg/2cm/m2</t>
  </si>
  <si>
    <t>Vnitřní sanační omítka zřízení v rozsahu 100%
sanční omítka 10kg/1cm/m2</t>
  </si>
  <si>
    <t>Podlahy a podlahové konstrukce</t>
  </si>
  <si>
    <t>Demontáž soklíků nebo lišt, pryžových nebo z PVC</t>
  </si>
  <si>
    <t>2,5</t>
  </si>
  <si>
    <t>4,5</t>
  </si>
  <si>
    <t>Odstranění PVC a koberců lepených bez podložky</t>
  </si>
  <si>
    <t>2,5*0,5</t>
  </si>
  <si>
    <t>4,5*0,5</t>
  </si>
  <si>
    <t>0,5*0,5</t>
  </si>
  <si>
    <t>Vysávání podlah prům.vysavačem pod povlak.podlahy</t>
  </si>
  <si>
    <t>2,5*2</t>
  </si>
  <si>
    <t>4,5*2</t>
  </si>
  <si>
    <t>0,5*2</t>
  </si>
  <si>
    <t>Lepení povlakových podlah ze čtverců textilních</t>
  </si>
  <si>
    <t>Montáž podlahových soklíků z koberc. pásů na lištu</t>
  </si>
  <si>
    <t>Přesun hmot pro podlahy povlakové, výšky do 6 m</t>
  </si>
  <si>
    <t>Podlahy z dlaždic</t>
  </si>
  <si>
    <t>Obklad soklíků keram.rovných, tmel,výška 10 cm</t>
  </si>
  <si>
    <t>9+7</t>
  </si>
  <si>
    <t>Dlažba matná 300x300x9 mm</t>
  </si>
  <si>
    <t>16*0,1</t>
  </si>
  <si>
    <t>;ztratné 10%; 0,16</t>
  </si>
  <si>
    <t>Přesun hmot pro podlahy z dlaždic, výšky do 6 m</t>
  </si>
  <si>
    <t>Obklady z přírodního a konglomerovaného kamene</t>
  </si>
  <si>
    <t>Obklad venkovních stěn, kamen</t>
  </si>
  <si>
    <t>0,5*0,5*7</t>
  </si>
  <si>
    <t>-lokální demontáž a opětovná montáž sokloveho kamene vlivem úskoku injektáží zdiva.</t>
  </si>
  <si>
    <t>Spárování maltou MCs zapuštěné rovné, zdí z kamene</t>
  </si>
  <si>
    <t>-Lokální vyspravení soklového kamene</t>
  </si>
  <si>
    <t>Otopná tělesa</t>
  </si>
  <si>
    <t>Demontáž otopných těles ocelových článkových</t>
  </si>
  <si>
    <t>1*1</t>
  </si>
  <si>
    <t>1,2*1</t>
  </si>
  <si>
    <t>2*1</t>
  </si>
  <si>
    <t>1,5*1</t>
  </si>
  <si>
    <t>Montáž otopných těles ocelových článkových</t>
  </si>
  <si>
    <t>Šroubení regulační, přímé,DN 15</t>
  </si>
  <si>
    <t>Demontáž potrubí z měděných trubek D 28 mm</t>
  </si>
  <si>
    <t>3*2</t>
  </si>
  <si>
    <t>4*2</t>
  </si>
  <si>
    <t>Potrubí z měděných trubek vytápění D 18 x 1,0 mm</t>
  </si>
  <si>
    <t>Tlaková zkouška potrubí  DN 32</t>
  </si>
  <si>
    <t>Tlakové zkoušky těles článkových</t>
  </si>
  <si>
    <t>Zaslepení měděného potrubí vč. víčka D 15 mm</t>
  </si>
  <si>
    <t>5*2</t>
  </si>
  <si>
    <t>Propojení měděného potrubí vytápění D 15 mm</t>
  </si>
  <si>
    <t>Montážní práce</t>
  </si>
  <si>
    <t>- napuštění odstavených radiátoru vodou během stavebních oprav
- vypuštění a napuštění systému</t>
  </si>
  <si>
    <t>Přemístění hmot, H do 6 m</t>
  </si>
  <si>
    <t>Konstrukce klempířské</t>
  </si>
  <si>
    <t>Oprava odpadní trouby Ti-Zn kruhové,D 120 mm</t>
  </si>
  <si>
    <t>Přesun hmot pro klempířské konstr., výšky do 6 m</t>
  </si>
  <si>
    <t>Schodiště</t>
  </si>
  <si>
    <t>Demontáž prefabrikovaných krycích desek 0,50 t</t>
  </si>
  <si>
    <t>Demontáž schodišťových stupňu pro opětovnou montáž</t>
  </si>
  <si>
    <t>Zřízení schodů z kopáků na MC s vyspárováním MC</t>
  </si>
  <si>
    <t>0,3*0,2*1,9*3</t>
  </si>
  <si>
    <t>Opětovná montáž schodišťových stupňu</t>
  </si>
  <si>
    <t>Malby</t>
  </si>
  <si>
    <t>Zakrytí podlah</t>
  </si>
  <si>
    <t>Zakrytí předmětů</t>
  </si>
  <si>
    <t>Malba sanační, odstín I, bez penetrace, 2x</t>
  </si>
  <si>
    <t>2,5*3</t>
  </si>
  <si>
    <t>6*3</t>
  </si>
  <si>
    <t>10*3+12*2</t>
  </si>
  <si>
    <t>5*3</t>
  </si>
  <si>
    <t>Potrubí z trub plastických, skleněných a čedičových</t>
  </si>
  <si>
    <t>Vybourání otvorů zdi želbet. pl. 0,09 m2, tl. 15cm</t>
  </si>
  <si>
    <t>Kladení dren. potrubí bezvýkop.,flex.PVC,s obsypem</t>
  </si>
  <si>
    <t>Trubka PVC-U drenážní flexibilní d 100 mm</t>
  </si>
  <si>
    <t>;ztratné 10%; 5,1</t>
  </si>
  <si>
    <t>Kus šikmý 45° drenážní PVC-U DN 100</t>
  </si>
  <si>
    <t>Ucpávka uzavírací drenážní PVC-U DN100</t>
  </si>
  <si>
    <t>Nátrubek spojovací drenáž. PVC-U DN100</t>
  </si>
  <si>
    <t>Redukce kanalizační 160/ 110 PVC</t>
  </si>
  <si>
    <t>Vrstva geotextilie 300g/m2</t>
  </si>
  <si>
    <t>39*1,5</t>
  </si>
  <si>
    <t>12*1,5</t>
  </si>
  <si>
    <t>Přesun hmot pro odvodnění drenáží bez výplně rýh</t>
  </si>
  <si>
    <t>Ostatní konstrukce a práce na trubním vedení</t>
  </si>
  <si>
    <t>Doprava mechanice servisního vozu</t>
  </si>
  <si>
    <t>Odstranění odpadů</t>
  </si>
  <si>
    <t>Čištění kanalizační stoky do DN 200, do 100 m</t>
  </si>
  <si>
    <t>Lešení a stavební výtahy</t>
  </si>
  <si>
    <t>Lešení lehké pomocné, výška podlahy do 1,2 m</t>
  </si>
  <si>
    <t>(2)*0,6</t>
  </si>
  <si>
    <t>Různé dokončovací konstrukce a práce na pozemních stavbách</t>
  </si>
  <si>
    <t>Vyčištění ostatních objektů</t>
  </si>
  <si>
    <t>Budovy občanské výstavby</t>
  </si>
  <si>
    <t>Přesun hmot pro budovy zděné výšky do 6 m</t>
  </si>
  <si>
    <t>Elektromontáže</t>
  </si>
  <si>
    <t>JYTY 1 mm - CYKY do 2,5 mm, 2-5 žil, pod omítkou</t>
  </si>
  <si>
    <t>- lokální vysprávka u oprav omítek
- připevnění na rychleruhnucí cement, nepoužívat sádru</t>
  </si>
  <si>
    <t>Krabice univerzální KU, bez zapojení, kruhová</t>
  </si>
  <si>
    <t>včetně dodávky KU 68-1902 s víčkem</t>
  </si>
  <si>
    <t>- lokální vysprávka u oprav omítek</t>
  </si>
  <si>
    <t>Ukončení vodičů v krabici + zapoj. do 2,5 mm2</t>
  </si>
  <si>
    <t>Odpojení vodiče v krabici</t>
  </si>
  <si>
    <t>- lokální odpojení elektriky</t>
  </si>
  <si>
    <t>Vedení uzemňovací na povrchu FeZn D 10 mm</t>
  </si>
  <si>
    <t>včetně drátu FeZn 10 mm</t>
  </si>
  <si>
    <t>Revize</t>
  </si>
  <si>
    <t>revize elektromontáže</t>
  </si>
  <si>
    <t>Dokumentace stavby</t>
  </si>
  <si>
    <t>Vypracování projektu skutečného stavu</t>
  </si>
  <si>
    <t>Přesuny sutí</t>
  </si>
  <si>
    <t>Vnitrostaveništní doprava suti do 10 m</t>
  </si>
  <si>
    <t>Příplatek k vnitrost. dopravě suti za dalších 5 m</t>
  </si>
  <si>
    <t>Nakládání nebo překládání suti a vybouraných hmot</t>
  </si>
  <si>
    <t>Odvoz suti a vybour. hmot na skládku do 1 km</t>
  </si>
  <si>
    <t>Příplatek k odvozu za každý další 1 km</t>
  </si>
  <si>
    <t>13*9</t>
  </si>
  <si>
    <t>Poplatek za skládku suti - asfaltové pásy</t>
  </si>
  <si>
    <t>Poplatek za skládku stavební suti</t>
  </si>
  <si>
    <t>Poplatek za skládku suti - plastové výrobky</t>
  </si>
  <si>
    <t>Zařízení staveniště</t>
  </si>
  <si>
    <t>Zařízení staveniště, oplocení, technická a dopravní zabezpečení, vytýčení</t>
  </si>
  <si>
    <t>Doba výstavby:</t>
  </si>
  <si>
    <t>Začátek výstavby:</t>
  </si>
  <si>
    <t>Konec výstavby:</t>
  </si>
  <si>
    <t>Zpracováno dne:</t>
  </si>
  <si>
    <t>chodník ve dvoře</t>
  </si>
  <si>
    <t>chodník ve dvoře u vpustě</t>
  </si>
  <si>
    <t>okapový chodník</t>
  </si>
  <si>
    <t>chodník přepojení u odbočky V13</t>
  </si>
  <si>
    <t>plocha ve dvoře</t>
  </si>
  <si>
    <t>u dvora u šachty Š7</t>
  </si>
  <si>
    <t>výkop dle řezu 9-10</t>
  </si>
  <si>
    <t>výkop dle řezu 9-10_drenáž</t>
  </si>
  <si>
    <t>výkop na drenáž od rohu objekt á Š8 po Š10</t>
  </si>
  <si>
    <t>výkop kolem objektu dle trasy drenáže V14</t>
  </si>
  <si>
    <t>výkop kanlizace V6-Š7</t>
  </si>
  <si>
    <t>výkop mezi V7,Š6-Š7</t>
  </si>
  <si>
    <t>výkop mezi V11-Š8'</t>
  </si>
  <si>
    <t>výkop mezi V13-Š10</t>
  </si>
  <si>
    <t>výkop u šachty Š12</t>
  </si>
  <si>
    <t>výkop u šachty Š7,Š8</t>
  </si>
  <si>
    <t>šachta 7</t>
  </si>
  <si>
    <t>šachta 8</t>
  </si>
  <si>
    <t>šachta 5</t>
  </si>
  <si>
    <t>výkop kol objektu dle trasy drenáže V14</t>
  </si>
  <si>
    <t>náhrada šterkodrtí</t>
  </si>
  <si>
    <t>výkop</t>
  </si>
  <si>
    <t>úprava terénu zatravnění, štěrkových ploch</t>
  </si>
  <si>
    <t>rezerva u rampy</t>
  </si>
  <si>
    <t>2m2, m2=250 kg</t>
  </si>
  <si>
    <t>štěrkodrtě</t>
  </si>
  <si>
    <t>přizdívky5m2</t>
  </si>
  <si>
    <t>rezerva</t>
  </si>
  <si>
    <t>Úprava A+přilehlý vnitřek, 750</t>
  </si>
  <si>
    <t>Úprava A+přilehlý vnitře, 500</t>
  </si>
  <si>
    <t>vybetonování šachty Š5</t>
  </si>
  <si>
    <t>lokální betonáže 3x</t>
  </si>
  <si>
    <t>SZ objektu mezi á Š4-V14'</t>
  </si>
  <si>
    <t>SZ objektu mezi á V7-V14'</t>
  </si>
  <si>
    <t>SZ objektu u úprav A</t>
  </si>
  <si>
    <t>plocha malby - nové omítky</t>
  </si>
  <si>
    <t>SZ objektu mezi á Š4 a rohem budovy á u šachty Š8'</t>
  </si>
  <si>
    <t>SZ objektu mezi á V14-V14'</t>
  </si>
  <si>
    <t>u úprav sanace A, místnost 15,16,17,23,21,část 19, výška á 0,5m</t>
  </si>
  <si>
    <t>u úprav sanace A, místnost 19, výška á 1,0m</t>
  </si>
  <si>
    <t>u úprav sanace A, místnost 19, výška á 0,5m</t>
  </si>
  <si>
    <t>u úprav sanace A, místnost 15,16,17,23,21,část 19</t>
  </si>
  <si>
    <t>u úprav sanace A, místnost 19</t>
  </si>
  <si>
    <t>úsek u svodu V6</t>
  </si>
  <si>
    <t>úsek u šachty Š8'</t>
  </si>
  <si>
    <t>úsek u šachty Š12</t>
  </si>
  <si>
    <t>úsek u potrubí V13</t>
  </si>
  <si>
    <t>Š8'</t>
  </si>
  <si>
    <t>úsek u šachty Š10</t>
  </si>
  <si>
    <t>úsek u větve V11</t>
  </si>
  <si>
    <t>úsek u šachty Š7,V7,V8,V9, oprava stávajícího vedení</t>
  </si>
  <si>
    <t>Kanali. úsek V13-Š10</t>
  </si>
  <si>
    <t>Kanali. úsek Š6-Š8', V6-Š7</t>
  </si>
  <si>
    <t>Kanalizace úsek Š12</t>
  </si>
  <si>
    <t>Šachta Š11, Š8', Š7</t>
  </si>
  <si>
    <t>u úprav sanace A, místnost 15,16,17,23,21,část 19, výška á 1m</t>
  </si>
  <si>
    <t>u úprav sanace A, místnost 19, výška á 2,9m</t>
  </si>
  <si>
    <t>u úprav sanace A, místnost 19, výška á 1,5m</t>
  </si>
  <si>
    <t>u úprav sanace A, místnost 18, výška á 1,5m</t>
  </si>
  <si>
    <t>místnost 16</t>
  </si>
  <si>
    <t>místnost 23</t>
  </si>
  <si>
    <t>místnost 15</t>
  </si>
  <si>
    <t>místnost 19,21</t>
  </si>
  <si>
    <t>rozebraní kamene o ploše 0,5*0,5</t>
  </si>
  <si>
    <t>místnost 17</t>
  </si>
  <si>
    <t>místnost 18</t>
  </si>
  <si>
    <t>místnost 19</t>
  </si>
  <si>
    <t>počet radiátorů*2 (přívod, odvod)</t>
  </si>
  <si>
    <t>úprava u lapače, 4x svod</t>
  </si>
  <si>
    <t>schody u úpravy sanace A</t>
  </si>
  <si>
    <t>Místnost 15</t>
  </si>
  <si>
    <t>Místnost 16</t>
  </si>
  <si>
    <t>Místnost 23</t>
  </si>
  <si>
    <t>Místnost 21</t>
  </si>
  <si>
    <t>interiér</t>
  </si>
  <si>
    <t>exteriér</t>
  </si>
  <si>
    <t>Místnost 17</t>
  </si>
  <si>
    <t>Místnost 18</t>
  </si>
  <si>
    <t>otvory u šachty Š4</t>
  </si>
  <si>
    <t>úsek Š4-Š10</t>
  </si>
  <si>
    <t>úsek V14-V14'</t>
  </si>
  <si>
    <t>úsek u šachty 4</t>
  </si>
  <si>
    <t>úsek drenáže Š4-Š10</t>
  </si>
  <si>
    <t>úsek drenáže V14-V14'</t>
  </si>
  <si>
    <t>rezerva k ochraně vnejší stěrkové izolace</t>
  </si>
  <si>
    <t>MJ</t>
  </si>
  <si>
    <t>m2</t>
  </si>
  <si>
    <t>m</t>
  </si>
  <si>
    <t>m3</t>
  </si>
  <si>
    <t>t</t>
  </si>
  <si>
    <t>kus</t>
  </si>
  <si>
    <t>Soubor</t>
  </si>
  <si>
    <t>soub.</t>
  </si>
  <si>
    <t>h</t>
  </si>
  <si>
    <t>soub</t>
  </si>
  <si>
    <t>25.02.2021</t>
  </si>
  <si>
    <t>Množství</t>
  </si>
  <si>
    <t>Objednatel:</t>
  </si>
  <si>
    <t>Projektant: Ing. Václav Toška</t>
  </si>
  <si>
    <t>Zhotovitel:</t>
  </si>
  <si>
    <t>Zpracoval:</t>
  </si>
  <si>
    <t>Cena/MJ</t>
  </si>
  <si>
    <t>(Kč)</t>
  </si>
  <si>
    <t>Městské kulturní středisko Nový Jičín</t>
  </si>
  <si>
    <t>Ing Václav Toška</t>
  </si>
  <si>
    <t> </t>
  </si>
  <si>
    <t>Náklady (Kč)</t>
  </si>
  <si>
    <t>Dodávka</t>
  </si>
  <si>
    <t>Celkem:</t>
  </si>
  <si>
    <t>Montáž</t>
  </si>
  <si>
    <t>Celkem</t>
  </si>
  <si>
    <t>Hmotnost (t)</t>
  </si>
  <si>
    <t>Jednot.</t>
  </si>
  <si>
    <t>Demont.</t>
  </si>
  <si>
    <t>Celkem/MJ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</si>
  <si>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</si>
  <si>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</si>
  <si>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</si>
  <si>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</si>
  <si>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</si>
  <si>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</si>
  <si>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</si>
  <si>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</si>
  <si>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</si>
  <si>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SO1</t>
  </si>
  <si>
    <t>11_</t>
  </si>
  <si>
    <t>13_</t>
  </si>
  <si>
    <t>16_</t>
  </si>
  <si>
    <t>18_</t>
  </si>
  <si>
    <t>56_</t>
  </si>
  <si>
    <t>31_</t>
  </si>
  <si>
    <t>28_</t>
  </si>
  <si>
    <t>27_</t>
  </si>
  <si>
    <t>62_</t>
  </si>
  <si>
    <t>711_</t>
  </si>
  <si>
    <t>721_</t>
  </si>
  <si>
    <t>61_</t>
  </si>
  <si>
    <t>63_</t>
  </si>
  <si>
    <t>771_</t>
  </si>
  <si>
    <t>782_</t>
  </si>
  <si>
    <t>735_</t>
  </si>
  <si>
    <t>764_</t>
  </si>
  <si>
    <t>43_</t>
  </si>
  <si>
    <t>784_</t>
  </si>
  <si>
    <t>87_</t>
  </si>
  <si>
    <t>89_</t>
  </si>
  <si>
    <t>94_</t>
  </si>
  <si>
    <t>95_</t>
  </si>
  <si>
    <t>H01_</t>
  </si>
  <si>
    <t>M21_</t>
  </si>
  <si>
    <t>V2_</t>
  </si>
  <si>
    <t>S_</t>
  </si>
  <si>
    <t>0_</t>
  </si>
  <si>
    <t>SO1_1_</t>
  </si>
  <si>
    <t>SO1_5_</t>
  </si>
  <si>
    <t>SO1_3_</t>
  </si>
  <si>
    <t>SO1_2_</t>
  </si>
  <si>
    <t>SO1_6_</t>
  </si>
  <si>
    <t>SO1_71_</t>
  </si>
  <si>
    <t>SO1_72_</t>
  </si>
  <si>
    <t>SO1_77_</t>
  </si>
  <si>
    <t>SO1_78_</t>
  </si>
  <si>
    <t>SO1_73_</t>
  </si>
  <si>
    <t>SO1_76_</t>
  </si>
  <si>
    <t>SO1_4_</t>
  </si>
  <si>
    <t>SO1_8_</t>
  </si>
  <si>
    <t>SO1_9_</t>
  </si>
  <si>
    <t>SO1_0_</t>
  </si>
  <si>
    <t>SO1_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</si>
  <si>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</si>
  <si>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</si>
  <si>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</si>
  <si>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</si>
  <si>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</si>
  <si>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</si>
  <si>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</si>
  <si>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</si>
  <si>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</si>
  <si>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</si>
  <si>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</si>
  <si>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</si>
  <si>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</si>
  <si>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Celková hmotnost (t)</t>
  </si>
  <si>
    <t>F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</si>
  <si>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</si>
  <si>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</si>
  <si>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</si>
  <si>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</si>
  <si>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</si>
  <si>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</si>
  <si>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</si>
  <si>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</si>
  <si>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</si>
  <si>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</si>
  <si>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</si>
  <si>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</si>
  <si>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</si>
  <si>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</si>
  <si>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</si>
  <si>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</si>
  <si>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 (SO1 - 1.Etapa_Sanace, stavební úpravy 1.PP)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</si>
  <si>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</si>
  <si>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</si>
  <si>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</si>
  <si>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</si>
  <si>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</si>
  <si>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</si>
  <si>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</si>
  <si>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</si>
  <si>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</si>
  <si>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</si>
  <si>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Mimostav. doprava</t>
  </si>
  <si>
    <t>Územní vlivy</t>
  </si>
  <si>
    <t>Provozní vlivy</t>
  </si>
  <si>
    <t>Ostatní</t>
  </si>
  <si>
    <t>NUS z rozpočtu</t>
  </si>
  <si>
    <t>NUS celkem</t>
  </si>
  <si>
    <t>ORN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</si>
  <si>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</si>
  <si>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</si>
  <si>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</si>
  <si>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</si>
  <si>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</si>
  <si>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</si>
  <si>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</si>
  <si>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47998261/CZ47998261</t>
  </si>
  <si>
    <t>01546490/CZ8806235724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</si>
</sst>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3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60"/>
      <name val="Arial"/>
      <family val="0"/>
    </font>
    <font>
      <i/>
      <sz val="10"/>
      <color indexed="63"/>
      <name val="Arial"/>
      <family val="0"/>
    </font>
    <font>
      <i/>
      <sz val="10"/>
      <color indexed="59"/>
      <name val="Arial"/>
      <family val="0"/>
    </font>
    <font>
      <i/>
      <sz val="10"/>
      <color indexed="50"/>
      <name val="Arial"/>
      <family val="0"/>
    </font>
    <font>
      <sz val="12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9" fillId="20" borderId="0" applyNumberFormat="0" applyBorder="0" applyAlignment="0" applyProtection="0"/>
    <xf numFmtId="0" fontId="4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91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34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9" fillId="33" borderId="17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right" vertical="top"/>
      <protection/>
    </xf>
    <xf numFmtId="49" fontId="12" fillId="0" borderId="0" xfId="0" applyNumberFormat="1" applyFont="1" applyFill="1" applyBorder="1" applyAlignment="1" applyProtection="1">
      <alignment horizontal="right" vertical="top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7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9" fillId="33" borderId="17" xfId="0" applyNumberFormat="1" applyFont="1" applyFill="1" applyBorder="1" applyAlignment="1" applyProtection="1">
      <alignment horizontal="right" vertical="center"/>
      <protection/>
    </xf>
    <xf numFmtId="49" fontId="10" fillId="34" borderId="0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16" fillId="0" borderId="24" xfId="0" applyNumberFormat="1" applyFont="1" applyFill="1" applyBorder="1" applyAlignment="1" applyProtection="1">
      <alignment horizontal="right" vertical="center"/>
      <protection/>
    </xf>
    <xf numFmtId="4" fontId="9" fillId="33" borderId="17" xfId="0" applyNumberFormat="1" applyFont="1" applyFill="1" applyBorder="1" applyAlignment="1" applyProtection="1">
      <alignment horizontal="right" vertical="center"/>
      <protection/>
    </xf>
    <xf numFmtId="4" fontId="10" fillId="34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9" fillId="33" borderId="25" xfId="0" applyNumberFormat="1" applyFont="1" applyFill="1" applyBorder="1" applyAlignment="1" applyProtection="1">
      <alignment horizontal="right" vertical="center"/>
      <protection/>
    </xf>
    <xf numFmtId="4" fontId="10" fillId="34" borderId="23" xfId="0" applyNumberFormat="1" applyFont="1" applyFill="1" applyBorder="1" applyAlignment="1" applyProtection="1">
      <alignment horizontal="right" vertical="center"/>
      <protection/>
    </xf>
    <xf numFmtId="4" fontId="6" fillId="0" borderId="23" xfId="0" applyNumberFormat="1" applyFont="1" applyFill="1" applyBorder="1" applyAlignment="1" applyProtection="1">
      <alignment horizontal="right" vertical="center"/>
      <protection/>
    </xf>
    <xf numFmtId="4" fontId="7" fillId="0" borderId="23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horizontal="right" vertical="center"/>
      <protection/>
    </xf>
    <xf numFmtId="4" fontId="1" fillId="0" borderId="25" xfId="0" applyNumberFormat="1" applyFont="1" applyFill="1" applyBorder="1" applyAlignment="1" applyProtection="1">
      <alignment horizontal="right" vertical="center"/>
      <protection/>
    </xf>
    <xf numFmtId="4" fontId="1" fillId="0" borderId="23" xfId="0" applyNumberFormat="1" applyFont="1" applyFill="1" applyBorder="1" applyAlignment="1" applyProtection="1">
      <alignment horizontal="right" vertical="center"/>
      <protection/>
    </xf>
    <xf numFmtId="4" fontId="1" fillId="0" borderId="33" xfId="0" applyNumberFormat="1" applyFont="1" applyFill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18" fillId="35" borderId="24" xfId="0" applyNumberFormat="1" applyFont="1" applyFill="1" applyBorder="1" applyAlignment="1" applyProtection="1">
      <alignment horizontal="center" vertical="center"/>
      <protection/>
    </xf>
    <xf numFmtId="49" fontId="19" fillId="0" borderId="34" xfId="0" applyNumberFormat="1" applyFont="1" applyFill="1" applyBorder="1" applyAlignment="1" applyProtection="1">
      <alignment horizontal="left" vertical="center"/>
      <protection/>
    </xf>
    <xf numFmtId="49" fontId="19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49" fontId="16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9" fontId="16" fillId="0" borderId="24" xfId="0" applyNumberFormat="1" applyFont="1" applyFill="1" applyBorder="1" applyAlignment="1" applyProtection="1">
      <alignment horizontal="righ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" fontId="19" fillId="35" borderId="39" xfId="0" applyNumberFormat="1" applyFont="1" applyFill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49" fontId="6" fillId="36" borderId="40" xfId="0" applyNumberFormat="1" applyFont="1" applyFill="1" applyBorder="1" applyAlignment="1" applyProtection="1">
      <alignment horizontal="left" vertical="center"/>
      <protection/>
    </xf>
    <xf numFmtId="4" fontId="6" fillId="36" borderId="41" xfId="0" applyNumberFormat="1" applyFont="1" applyFill="1" applyBorder="1" applyAlignment="1" applyProtection="1">
      <alignment horizontal="right" vertical="center"/>
      <protection/>
    </xf>
    <xf numFmtId="4" fontId="6" fillId="36" borderId="42" xfId="0" applyNumberFormat="1" applyFont="1" applyFill="1" applyBorder="1" applyAlignment="1" applyProtection="1">
      <alignment horizontal="right" vertical="center"/>
      <protection/>
    </xf>
    <xf numFmtId="4" fontId="6" fillId="36" borderId="40" xfId="0" applyNumberFormat="1" applyFont="1" applyFill="1" applyBorder="1" applyAlignment="1" applyProtection="1">
      <alignment horizontal="right" vertical="center"/>
      <protection/>
    </xf>
    <xf numFmtId="4" fontId="6" fillId="36" borderId="43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36" borderId="41" xfId="0" applyNumberFormat="1" applyFont="1" applyFill="1" applyBorder="1" applyAlignment="1" applyProtection="1">
      <alignment vertical="center"/>
      <protection/>
    </xf>
    <xf numFmtId="0" fontId="1" fillId="36" borderId="42" xfId="0" applyNumberFormat="1" applyFont="1" applyFill="1" applyBorder="1" applyAlignment="1" applyProtection="1">
      <alignment vertical="center"/>
      <protection/>
    </xf>
    <xf numFmtId="49" fontId="6" fillId="36" borderId="44" xfId="0" applyNumberFormat="1" applyFont="1" applyFill="1" applyBorder="1" applyAlignment="1" applyProtection="1">
      <alignment horizontal="left" vertical="center"/>
      <protection/>
    </xf>
    <xf numFmtId="0" fontId="0" fillId="36" borderId="41" xfId="1" applyNumberFormat="1" applyFill="1" applyBorder="1" applyAlignment="1" applyProtection="1">
      <alignment/>
      <protection/>
    </xf>
    <xf numFmtId="0" fontId="0" fillId="36" borderId="42" xfId="1" applyNumberFormat="1" applyFill="1" applyBorder="1" applyAlignment="1" applyProtection="1">
      <alignment/>
      <protection/>
    </xf>
    <xf numFmtId="0" fontId="1" fillId="36" borderId="40" xfId="0" applyNumberFormat="1" applyFont="1" applyFill="1" applyBorder="1" applyAlignment="1" applyProtection="1">
      <alignment vertical="center"/>
      <protection/>
    </xf>
    <xf numFmtId="49" fontId="13" fillId="36" borderId="41" xfId="0" applyNumberFormat="1" applyFont="1" applyFill="1" applyBorder="1" applyAlignment="1" applyProtection="1">
      <alignment horizontal="left" vertical="center"/>
      <protection/>
    </xf>
    <xf numFmtId="49" fontId="13" fillId="36" borderId="42" xfId="0" applyNumberFormat="1" applyFont="1" applyFill="1" applyBorder="1" applyAlignment="1" applyProtection="1">
      <alignment horizontal="left" vertical="center"/>
      <protection/>
    </xf>
    <xf numFmtId="0" fontId="0" fillId="36" borderId="40" xfId="1" applyNumberFormat="1" applyFill="1" applyBorder="1" applyAlignment="1" applyProtection="1">
      <alignment/>
      <protection/>
    </xf>
    <xf numFmtId="49" fontId="15" fillId="36" borderId="40" xfId="0" applyNumberFormat="1" applyFont="1" applyFill="1" applyBorder="1" applyAlignment="1" applyProtection="1">
      <alignment horizontal="left" vertical="center"/>
      <protection/>
    </xf>
    <xf numFmtId="4" fontId="6" fillId="36" borderId="44" xfId="0" applyNumberFormat="1" applyFont="1" applyFill="1" applyBorder="1" applyAlignment="1" applyProtection="1">
      <alignment horizontal="right" vertical="center"/>
      <protection/>
    </xf>
    <xf numFmtId="4" fontId="13" fillId="36" borderId="40" xfId="0" applyNumberFormat="1" applyFont="1" applyFill="1" applyBorder="1" applyAlignment="1" applyProtection="1">
      <alignment horizontal="right" vertical="center"/>
      <protection/>
    </xf>
    <xf numFmtId="4" fontId="6" fillId="36" borderId="45" xfId="0" applyNumberFormat="1" applyFont="1" applyFill="1" applyBorder="1" applyAlignment="1" applyProtection="1">
      <alignment horizontal="right" vertical="center"/>
      <protection/>
    </xf>
    <xf numFmtId="0" fontId="0" fillId="36" borderId="43" xfId="1" applyNumberFormat="1" applyFill="1" applyBorder="1" applyAlignment="1" applyProtection="1">
      <alignment/>
      <protection/>
    </xf>
    <xf numFmtId="0" fontId="1" fillId="36" borderId="44" xfId="0" applyNumberFormat="1" applyFont="1" applyFill="1" applyBorder="1" applyAlignment="1" applyProtection="1">
      <alignment vertical="center"/>
      <protection/>
    </xf>
    <xf numFmtId="0" fontId="0" fillId="36" borderId="44" xfId="1" applyNumberFormat="1" applyFill="1" applyBorder="1" applyAlignment="1" applyProtection="1">
      <alignment/>
      <protection/>
    </xf>
    <xf numFmtId="49" fontId="15" fillId="36" borderId="44" xfId="0" applyNumberFormat="1" applyFont="1" applyFill="1" applyBorder="1" applyAlignment="1" applyProtection="1">
      <alignment horizontal="left" vertical="center"/>
      <protection/>
    </xf>
    <xf numFmtId="4" fontId="13" fillId="36" borderId="44" xfId="0" applyNumberFormat="1" applyFont="1" applyFill="1" applyBorder="1" applyAlignment="1" applyProtection="1">
      <alignment horizontal="right" vertical="center"/>
      <protection/>
    </xf>
    <xf numFmtId="0" fontId="0" fillId="36" borderId="45" xfId="1" applyNumberFormat="1" applyFill="1" applyBorder="1" applyAlignment="1" applyProtection="1">
      <alignment/>
      <protection/>
    </xf>
    <xf numFmtId="4" fontId="7" fillId="36" borderId="41" xfId="0" applyNumberFormat="1" applyFont="1" applyFill="1" applyBorder="1" applyAlignment="1" applyProtection="1">
      <alignment horizontal="right" vertical="center"/>
      <protection/>
    </xf>
    <xf numFmtId="49" fontId="7" fillId="36" borderId="44" xfId="0" applyNumberFormat="1" applyFont="1" applyFill="1" applyBorder="1" applyAlignment="1" applyProtection="1">
      <alignment horizontal="left" vertical="center"/>
      <protection/>
    </xf>
    <xf numFmtId="4" fontId="7" fillId="36" borderId="44" xfId="0" applyNumberFormat="1" applyFont="1" applyFill="1" applyBorder="1" applyAlignment="1" applyProtection="1">
      <alignment horizontal="right" vertical="center"/>
      <protection/>
    </xf>
    <xf numFmtId="4" fontId="7" fillId="36" borderId="45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16" fillId="0" borderId="46" xfId="0" applyNumberFormat="1" applyFont="1" applyFill="1" applyBorder="1" applyAlignment="1" applyProtection="1">
      <alignment horizontal="left" vertical="center"/>
      <protection/>
    </xf>
    <xf numFmtId="0" fontId="16" fillId="0" borderId="47" xfId="0" applyNumberFormat="1" applyFont="1" applyFill="1" applyBorder="1" applyAlignment="1" applyProtection="1">
      <alignment horizontal="left" vertical="center"/>
      <protection/>
    </xf>
    <xf numFmtId="0" fontId="16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32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49" xfId="0" applyNumberFormat="1" applyFont="1" applyFill="1" applyBorder="1" applyAlignment="1" applyProtection="1">
      <alignment horizontal="left" vertical="center"/>
      <protection/>
    </xf>
    <xf numFmtId="49" fontId="16" fillId="0" borderId="50" xfId="0" applyNumberFormat="1" applyFont="1" applyFill="1" applyBorder="1" applyAlignment="1" applyProtection="1">
      <alignment horizontal="left" vertical="center"/>
      <protection/>
    </xf>
    <xf numFmtId="0" fontId="16" fillId="0" borderId="17" xfId="0" applyNumberFormat="1" applyFont="1" applyFill="1" applyBorder="1" applyAlignment="1" applyProtection="1">
      <alignment horizontal="left" vertical="center"/>
      <protection/>
    </xf>
    <xf numFmtId="0" fontId="16" fillId="0" borderId="51" xfId="0" applyNumberFormat="1" applyFont="1" applyFill="1" applyBorder="1" applyAlignment="1" applyProtection="1">
      <alignment horizontal="left" vertical="center"/>
      <protection/>
    </xf>
    <xf numFmtId="49" fontId="19" fillId="0" borderId="52" xfId="0" applyNumberFormat="1" applyFont="1" applyFill="1" applyBorder="1" applyAlignment="1" applyProtection="1">
      <alignment horizontal="left" vertical="center"/>
      <protection/>
    </xf>
    <xf numFmtId="0" fontId="19" fillId="0" borderId="39" xfId="0" applyNumberFormat="1" applyFont="1" applyFill="1" applyBorder="1" applyAlignment="1" applyProtection="1">
      <alignment horizontal="left" vertical="center"/>
      <protection/>
    </xf>
    <xf numFmtId="49" fontId="19" fillId="35" borderId="52" xfId="0" applyNumberFormat="1" applyFont="1" applyFill="1" applyBorder="1" applyAlignment="1" applyProtection="1">
      <alignment horizontal="left" vertical="center"/>
      <protection/>
    </xf>
    <xf numFmtId="0" fontId="19" fillId="35" borderId="53" xfId="0" applyNumberFormat="1" applyFont="1" applyFill="1" applyBorder="1" applyAlignment="1" applyProtection="1">
      <alignment horizontal="left" vertical="center"/>
      <protection/>
    </xf>
    <xf numFmtId="49" fontId="16" fillId="0" borderId="52" xfId="0" applyNumberFormat="1" applyFont="1" applyFill="1" applyBorder="1" applyAlignment="1" applyProtection="1">
      <alignment horizontal="left" vertical="center"/>
      <protection/>
    </xf>
    <xf numFmtId="0" fontId="16" fillId="0" borderId="39" xfId="0" applyNumberFormat="1" applyFont="1" applyFill="1" applyBorder="1" applyAlignment="1" applyProtection="1">
      <alignment horizontal="left" vertical="center"/>
      <protection/>
    </xf>
    <xf numFmtId="49" fontId="17" fillId="0" borderId="53" xfId="0" applyNumberFormat="1" applyFont="1" applyFill="1" applyBorder="1" applyAlignment="1" applyProtection="1">
      <alignment horizontal="center" vertical="center"/>
      <protection/>
    </xf>
    <xf numFmtId="0" fontId="17" fillId="0" borderId="53" xfId="0" applyNumberFormat="1" applyFont="1" applyFill="1" applyBorder="1" applyAlignment="1" applyProtection="1">
      <alignment horizontal="center" vertical="center"/>
      <protection/>
    </xf>
    <xf numFmtId="49" fontId="20" fillId="0" borderId="52" xfId="0" applyNumberFormat="1" applyFont="1" applyFill="1" applyBorder="1" applyAlignment="1" applyProtection="1">
      <alignment horizontal="left" vertical="center"/>
      <protection/>
    </xf>
    <xf numFmtId="0" fontId="20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55" xfId="0" applyNumberFormat="1" applyFont="1" applyFill="1" applyBorder="1" applyAlignment="1" applyProtection="1">
      <alignment horizontal="left" vertic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6" fillId="36" borderId="41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44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49" fontId="6" fillId="36" borderId="42" xfId="0" applyNumberFormat="1" applyFont="1" applyFill="1" applyBorder="1" applyAlignment="1" applyProtection="1">
      <alignment horizontal="left" vertical="center"/>
      <protection/>
    </xf>
    <xf numFmtId="0" fontId="6" fillId="0" borderId="29" xfId="0" applyNumberFormat="1" applyFont="1" applyFill="1" applyBorder="1" applyAlignment="1" applyProtection="1">
      <alignment horizontal="left"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23" xfId="0" applyNumberFormat="1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NumberFormat="1" applyFont="1" applyFill="1" applyBorder="1" applyAlignment="1" applyProtection="1">
      <alignment horizontal="left" vertical="center"/>
      <protection/>
    </xf>
    <xf numFmtId="49" fontId="7" fillId="36" borderId="41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44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56" xfId="0" applyNumberFormat="1" applyFont="1" applyFill="1" applyBorder="1" applyAlignment="1" applyProtection="1">
      <alignment horizontal="center" vertical="center"/>
      <protection/>
    </xf>
    <xf numFmtId="0" fontId="3" fillId="0" borderId="57" xfId="0" applyNumberFormat="1" applyFont="1" applyFill="1" applyBorder="1" applyAlignment="1" applyProtection="1">
      <alignment horizontal="center" vertical="center"/>
      <protection/>
    </xf>
    <xf numFmtId="0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49" fontId="3" fillId="0" borderId="54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55" xfId="0" applyNumberFormat="1" applyFont="1" applyFill="1" applyBorder="1" applyAlignment="1" applyProtection="1">
      <alignment horizontal="left" vertical="center"/>
      <protection/>
    </xf>
    <xf numFmtId="49" fontId="9" fillId="33" borderId="17" xfId="0" applyNumberFormat="1" applyFont="1" applyFill="1" applyBorder="1" applyAlignment="1" applyProtection="1">
      <alignment horizontal="left" vertical="center"/>
      <protection/>
    </xf>
    <xf numFmtId="0" fontId="9" fillId="33" borderId="17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4" fontId="16" fillId="0" borderId="24" xfId="0" applyNumberFormat="1" applyFont="1" applyFill="1" applyBorder="1" applyAlignment="1" applyProtection="1">
      <alignment horizontal="right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9"/>
      <c r="B1" s="66"/>
      <c r="C1" s="140" t="s">
        <v>767</v>
      </c>
      <c r="D1" s="141"/>
      <c r="E1" s="141"/>
      <c r="F1" s="141"/>
      <c r="G1" s="141"/>
      <c r="H1" s="141"/>
      <c r="I1" s="141"/>
    </row>
    <row r="2" spans="1:10" ht="12.75">
      <c r="A2" s="142" t="s">
        <v>1</v>
      </c>
      <c r="B2" s="143"/>
      <c r="C2" s="144" t="str">
        <f>'Stavební rozpočet'!C2</f>
        <v>Sanace a stavební úpravy knihovny v Novém Jičíně</v>
      </c>
      <c r="D2" s="145"/>
      <c r="E2" s="147" t="s">
        <v>664</v>
      </c>
      <c r="F2" s="147" t="str">
        <f>'Stavební rozpočet'!I2</f>
        <v>Městské kulturní středisko Nový Jičín</v>
      </c>
      <c r="G2" s="143"/>
      <c r="H2" s="147" t="s">
        <v>788</v>
      </c>
      <c r="I2" s="148" t="s">
        <v>792</v>
      </c>
      <c r="J2" s="6"/>
    </row>
    <row r="3" spans="1:10" ht="12.75">
      <c r="A3" s="137"/>
      <c r="B3" s="114"/>
      <c r="C3" s="146"/>
      <c r="D3" s="146"/>
      <c r="E3" s="114"/>
      <c r="F3" s="114"/>
      <c r="G3" s="114"/>
      <c r="H3" s="114"/>
      <c r="I3" s="139"/>
      <c r="J3" s="6"/>
    </row>
    <row r="4" spans="1:10" ht="12.75">
      <c r="A4" s="131" t="s">
        <v>2</v>
      </c>
      <c r="B4" s="114"/>
      <c r="C4" s="113" t="str">
        <f>'Stavební rozpočet'!C4</f>
        <v>Sanace spodní stavby, stavební úpravy</v>
      </c>
      <c r="D4" s="114"/>
      <c r="E4" s="113" t="s">
        <v>665</v>
      </c>
      <c r="F4" s="113" t="str">
        <f>'Stavební rozpočet'!I4</f>
        <v>Ing Václav Toška</v>
      </c>
      <c r="G4" s="114"/>
      <c r="H4" s="113" t="s">
        <v>788</v>
      </c>
      <c r="I4" s="138" t="s">
        <v>793</v>
      </c>
      <c r="J4" s="6"/>
    </row>
    <row r="5" spans="1:10" ht="12.75">
      <c r="A5" s="137"/>
      <c r="B5" s="114"/>
      <c r="C5" s="114"/>
      <c r="D5" s="114"/>
      <c r="E5" s="114"/>
      <c r="F5" s="114"/>
      <c r="G5" s="114"/>
      <c r="H5" s="114"/>
      <c r="I5" s="139"/>
      <c r="J5" s="6"/>
    </row>
    <row r="6" spans="1:10" ht="12.75">
      <c r="A6" s="131" t="s">
        <v>3</v>
      </c>
      <c r="B6" s="114"/>
      <c r="C6" s="113" t="str">
        <f>'Stavební rozpočet'!C6</f>
        <v> </v>
      </c>
      <c r="D6" s="114"/>
      <c r="E6" s="113" t="s">
        <v>666</v>
      </c>
      <c r="F6" s="113" t="str">
        <f>'Stavební rozpočet'!I6</f>
        <v> </v>
      </c>
      <c r="G6" s="114"/>
      <c r="H6" s="113" t="s">
        <v>788</v>
      </c>
      <c r="I6" s="138" t="s">
        <v>793</v>
      </c>
      <c r="J6" s="6"/>
    </row>
    <row r="7" spans="1:10" ht="12.75">
      <c r="A7" s="137"/>
      <c r="B7" s="114"/>
      <c r="C7" s="114"/>
      <c r="D7" s="114"/>
      <c r="E7" s="114"/>
      <c r="F7" s="114"/>
      <c r="G7" s="114"/>
      <c r="H7" s="114"/>
      <c r="I7" s="139"/>
      <c r="J7" s="6"/>
    </row>
    <row r="8" spans="1:10" ht="12.75">
      <c r="A8" s="131" t="s">
        <v>564</v>
      </c>
      <c r="B8" s="114"/>
      <c r="C8" s="113" t="str">
        <f>'Stavební rozpočet'!G4</f>
        <v> </v>
      </c>
      <c r="D8" s="114"/>
      <c r="E8" s="113" t="s">
        <v>565</v>
      </c>
      <c r="F8" s="113" t="str">
        <f>'Stavební rozpočet'!G6</f>
        <v> </v>
      </c>
      <c r="G8" s="114"/>
      <c r="H8" s="134" t="s">
        <v>789</v>
      </c>
      <c r="I8" s="138" t="s">
        <v>136</v>
      </c>
      <c r="J8" s="6"/>
    </row>
    <row r="9" spans="1:10" ht="12.75">
      <c r="A9" s="137"/>
      <c r="B9" s="114"/>
      <c r="C9" s="114"/>
      <c r="D9" s="114"/>
      <c r="E9" s="114"/>
      <c r="F9" s="114"/>
      <c r="G9" s="114"/>
      <c r="H9" s="114"/>
      <c r="I9" s="139"/>
      <c r="J9" s="6"/>
    </row>
    <row r="10" spans="1:10" ht="12.75">
      <c r="A10" s="131" t="s">
        <v>4</v>
      </c>
      <c r="B10" s="114"/>
      <c r="C10" s="113">
        <f>'Stavební rozpočet'!C8</f>
        <v>8013213</v>
      </c>
      <c r="D10" s="114"/>
      <c r="E10" s="113" t="s">
        <v>667</v>
      </c>
      <c r="F10" s="113" t="str">
        <f>'Stavební rozpočet'!I8</f>
        <v>Ing Václav Toška</v>
      </c>
      <c r="G10" s="114"/>
      <c r="H10" s="134" t="s">
        <v>790</v>
      </c>
      <c r="I10" s="135" t="str">
        <f>'Stavební rozpočet'!G8</f>
        <v>25.02.2021</v>
      </c>
      <c r="J10" s="6"/>
    </row>
    <row r="11" spans="1:10" ht="12.75">
      <c r="A11" s="132"/>
      <c r="B11" s="133"/>
      <c r="C11" s="133"/>
      <c r="D11" s="133"/>
      <c r="E11" s="133"/>
      <c r="F11" s="133"/>
      <c r="G11" s="133"/>
      <c r="H11" s="133"/>
      <c r="I11" s="136"/>
      <c r="J11" s="6"/>
    </row>
    <row r="12" spans="1:9" ht="23.25" customHeight="1">
      <c r="A12" s="127" t="s">
        <v>752</v>
      </c>
      <c r="B12" s="128"/>
      <c r="C12" s="128"/>
      <c r="D12" s="128"/>
      <c r="E12" s="128"/>
      <c r="F12" s="128"/>
      <c r="G12" s="128"/>
      <c r="H12" s="128"/>
      <c r="I12" s="128"/>
    </row>
    <row r="13" spans="1:10" ht="26.25" customHeight="1">
      <c r="A13" s="67" t="s">
        <v>753</v>
      </c>
      <c r="B13" s="129" t="s">
        <v>765</v>
      </c>
      <c r="C13" s="130"/>
      <c r="D13" s="67" t="s">
        <v>768</v>
      </c>
      <c r="E13" s="129" t="s">
        <v>776</v>
      </c>
      <c r="F13" s="130"/>
      <c r="G13" s="67" t="s">
        <v>777</v>
      </c>
      <c r="H13" s="129" t="s">
        <v>791</v>
      </c>
      <c r="I13" s="130"/>
      <c r="J13" s="6"/>
    </row>
    <row r="14" spans="1:10" ht="15" customHeight="1">
      <c r="A14" s="68" t="s">
        <v>754</v>
      </c>
      <c r="B14" s="72" t="s">
        <v>766</v>
      </c>
      <c r="C14" s="41">
        <f>SUMIF('Stavební rozpočet'!AI12:AI455,"SO1",'Stavební rozpočet'!AB12:AB455)</f>
        <v>0</v>
      </c>
      <c r="D14" s="125" t="s">
        <v>769</v>
      </c>
      <c r="E14" s="126"/>
      <c r="F14" s="41">
        <v>0</v>
      </c>
      <c r="G14" s="125" t="s">
        <v>561</v>
      </c>
      <c r="H14" s="126"/>
      <c r="I14" s="75" t="s">
        <v>273</v>
      </c>
      <c r="J14" s="6"/>
    </row>
    <row r="15" spans="1:10" ht="15" customHeight="1">
      <c r="A15" s="69"/>
      <c r="B15" s="72" t="s">
        <v>676</v>
      </c>
      <c r="C15" s="41">
        <f>SUMIF('Stavební rozpočet'!AI12:AI455,"SO1",'Stavební rozpočet'!AC12:AC455)</f>
        <v>0</v>
      </c>
      <c r="D15" s="125" t="s">
        <v>770</v>
      </c>
      <c r="E15" s="126"/>
      <c r="F15" s="41">
        <v>0</v>
      </c>
      <c r="G15" s="125" t="s">
        <v>778</v>
      </c>
      <c r="H15" s="126"/>
      <c r="I15" s="75" t="s">
        <v>273</v>
      </c>
      <c r="J15" s="6"/>
    </row>
    <row r="16" spans="1:10" ht="15" customHeight="1">
      <c r="A16" s="68" t="s">
        <v>755</v>
      </c>
      <c r="B16" s="72" t="s">
        <v>766</v>
      </c>
      <c r="C16" s="41">
        <f>SUMIF('Stavební rozpočet'!AI12:AI455,"SO1",'Stavební rozpočet'!AD12:AD455)</f>
        <v>0</v>
      </c>
      <c r="D16" s="125" t="s">
        <v>771</v>
      </c>
      <c r="E16" s="126"/>
      <c r="F16" s="41">
        <v>0</v>
      </c>
      <c r="G16" s="125" t="s">
        <v>779</v>
      </c>
      <c r="H16" s="126"/>
      <c r="I16" s="75" t="s">
        <v>273</v>
      </c>
      <c r="J16" s="6"/>
    </row>
    <row r="17" spans="1:10" ht="15" customHeight="1">
      <c r="A17" s="69"/>
      <c r="B17" s="72" t="s">
        <v>676</v>
      </c>
      <c r="C17" s="41">
        <f>SUMIF('Stavební rozpočet'!AI12:AI455,"SO1",'Stavební rozpočet'!AE12:AE455)</f>
        <v>0</v>
      </c>
      <c r="D17" s="125"/>
      <c r="E17" s="126"/>
      <c r="F17" s="75"/>
      <c r="G17" s="125" t="s">
        <v>780</v>
      </c>
      <c r="H17" s="126"/>
      <c r="I17" s="75" t="s">
        <v>273</v>
      </c>
      <c r="J17" s="6"/>
    </row>
    <row r="18" spans="1:10" ht="15" customHeight="1">
      <c r="A18" s="68" t="s">
        <v>756</v>
      </c>
      <c r="B18" s="72" t="s">
        <v>766</v>
      </c>
      <c r="C18" s="41">
        <f>SUMIF('Stavební rozpočet'!AI12:AI455,"SO1",'Stavební rozpočet'!AF12:AF455)</f>
        <v>0</v>
      </c>
      <c r="D18" s="125"/>
      <c r="E18" s="126"/>
      <c r="F18" s="75"/>
      <c r="G18" s="125" t="s">
        <v>781</v>
      </c>
      <c r="H18" s="126"/>
      <c r="I18" s="75" t="s">
        <v>273</v>
      </c>
      <c r="J18" s="6"/>
    </row>
    <row r="19" spans="1:10" ht="15" customHeight="1">
      <c r="A19" s="69"/>
      <c r="B19" s="72" t="s">
        <v>676</v>
      </c>
      <c r="C19" s="41">
        <f>SUMIF('Stavební rozpočet'!AI12:AI455,"SO1",'Stavební rozpočet'!AG12:AG455)</f>
        <v>0</v>
      </c>
      <c r="D19" s="125"/>
      <c r="E19" s="126"/>
      <c r="F19" s="75"/>
      <c r="G19" s="125" t="s">
        <v>782</v>
      </c>
      <c r="H19" s="126"/>
      <c r="I19" s="75" t="s">
        <v>273</v>
      </c>
      <c r="J19" s="6"/>
    </row>
    <row r="20" spans="1:10" ht="15" customHeight="1">
      <c r="A20" s="121" t="s">
        <v>757</v>
      </c>
      <c r="B20" s="122"/>
      <c r="C20" s="41">
        <f>SUMIF('Stavební rozpočet'!AI12:AI455,"SO1",'Stavební rozpočet'!AH12:AH455)</f>
        <v>0</v>
      </c>
      <c r="D20" s="125"/>
      <c r="E20" s="126"/>
      <c r="F20" s="75"/>
      <c r="G20" s="125"/>
      <c r="H20" s="126"/>
      <c r="I20" s="75"/>
      <c r="J20" s="6"/>
    </row>
    <row r="21" spans="1:10" ht="15" customHeight="1">
      <c r="A21" s="121" t="s">
        <v>758</v>
      </c>
      <c r="B21" s="122"/>
      <c r="C21" s="41">
        <f>SUMIF('Stavební rozpočet'!AI12:AI455,"SO1",'Stavební rozpočet'!Z12:Z455)</f>
        <v>0</v>
      </c>
      <c r="D21" s="125"/>
      <c r="E21" s="126"/>
      <c r="F21" s="75"/>
      <c r="G21" s="125"/>
      <c r="H21" s="126"/>
      <c r="I21" s="75"/>
      <c r="J21" s="6"/>
    </row>
    <row r="22" spans="1:10" ht="16.5" customHeight="1">
      <c r="A22" s="121" t="s">
        <v>759</v>
      </c>
      <c r="B22" s="122"/>
      <c r="C22" s="41">
        <f>SUM(C14:C21)</f>
        <v>0</v>
      </c>
      <c r="D22" s="121" t="s">
        <v>772</v>
      </c>
      <c r="E22" s="122"/>
      <c r="F22" s="41">
        <f>SUM(F14:F21)</f>
        <v>0</v>
      </c>
      <c r="G22" s="121" t="s">
        <v>783</v>
      </c>
      <c r="H22" s="122"/>
      <c r="I22" s="41">
        <f>SUM(I14:I21)</f>
        <v>0</v>
      </c>
      <c r="J22" s="6"/>
    </row>
    <row r="23" spans="1:9" ht="15" customHeight="1">
      <c r="A23" s="8"/>
      <c r="B23" s="8"/>
      <c r="C23" s="8"/>
      <c r="D23" s="8"/>
      <c r="E23" s="8"/>
      <c r="F23" s="76"/>
      <c r="G23" s="121" t="s">
        <v>784</v>
      </c>
      <c r="H23" s="122"/>
      <c r="I23" s="77"/>
    </row>
    <row r="24" spans="1:8" ht="12.75">
      <c r="A24" s="66"/>
      <c r="B24" s="66"/>
      <c r="C24" s="66"/>
      <c r="G24" s="8"/>
      <c r="H24" s="8"/>
    </row>
    <row r="25" spans="1:9" ht="15" customHeight="1">
      <c r="A25" s="123" t="s">
        <v>760</v>
      </c>
      <c r="B25" s="124"/>
      <c r="C25" s="78">
        <f>('Stavební rozpočet'!AS13+'Stavební rozpočet'!AS26+'Stavební rozpočet'!AS42+'Stavební rozpočet'!AS64+'Stavební rozpočet'!AS72+'Stavební rozpočet'!AS117+'Stavební rozpočet'!AS125+'Stavební rozpočet'!AS130+'Stavební rozpočet'!AS134+'Stavební rozpočet'!AS165+'Stavební rozpočet'!AS215+'Stavební rozpočet'!AS245+'Stavební rozpočet'!AS280+'Stavební rozpočet'!AS302+'Stavební rozpočet'!AS309+'Stavební rozpočet'!AS316+'Stavební rozpočet'!AS361+'Stavební rozpočet'!AS365+'Stavební rozpočet'!AS372+'Stavební rozpočet'!AS387+'Stavební rozpočet'!AS407+'Stavební rozpočet'!AS411+'Stavební rozpočet'!AS414+'Stavební rozpočet'!AS416+'Stavební rozpočet'!AS419+'Stavební rozpočet'!AS435+'Stavební rozpočet'!AS437+'Stavební rozpočet'!AS454)</f>
        <v>0</v>
      </c>
      <c r="D25" s="74"/>
      <c r="E25" s="66"/>
      <c r="F25" s="66"/>
      <c r="G25" s="66"/>
      <c r="H25" s="66"/>
      <c r="I25" s="66"/>
    </row>
    <row r="26" spans="1:10" ht="15" customHeight="1">
      <c r="A26" s="123" t="s">
        <v>761</v>
      </c>
      <c r="B26" s="124"/>
      <c r="C26" s="78">
        <f>('Stavební rozpočet'!AT13+'Stavební rozpočet'!AT26+'Stavební rozpočet'!AT42+'Stavební rozpočet'!AT64+'Stavební rozpočet'!AT72+'Stavební rozpočet'!AT117+'Stavební rozpočet'!AT125+'Stavební rozpočet'!AT130+'Stavební rozpočet'!AT134+'Stavební rozpočet'!AT165+'Stavební rozpočet'!AT215+'Stavební rozpočet'!AT245+'Stavební rozpočet'!AT280+'Stavební rozpočet'!AT302+'Stavební rozpočet'!AT309+'Stavební rozpočet'!AT316+'Stavební rozpočet'!AT361+'Stavební rozpočet'!AT365+'Stavební rozpočet'!AT372+'Stavební rozpočet'!AT387+'Stavební rozpočet'!AT407+'Stavební rozpočet'!AT411+'Stavební rozpočet'!AT414+'Stavební rozpočet'!AT416+'Stavební rozpočet'!AT419+'Stavební rozpočet'!AT435+'Stavební rozpočet'!AT437+'Stavební rozpočet'!AT454)</f>
        <v>0</v>
      </c>
      <c r="D26" s="123" t="s">
        <v>773</v>
      </c>
      <c r="E26" s="124"/>
      <c r="F26" s="78">
        <f>ROUND(C26*(15/100),2)</f>
        <v>0</v>
      </c>
      <c r="G26" s="123" t="s">
        <v>785</v>
      </c>
      <c r="H26" s="124"/>
      <c r="I26" s="78">
        <f>SUM(C25:C27)</f>
        <v>0</v>
      </c>
      <c r="J26" s="6"/>
    </row>
    <row r="27" spans="1:10" ht="15" customHeight="1">
      <c r="A27" s="123" t="s">
        <v>762</v>
      </c>
      <c r="B27" s="124"/>
      <c r="C27" s="78">
        <f>('Stavební rozpočet'!AU13+'Stavební rozpočet'!AU26+'Stavební rozpočet'!AU42+'Stavební rozpočet'!AU64+'Stavební rozpočet'!AU72+'Stavební rozpočet'!AU117+'Stavební rozpočet'!AU125+'Stavební rozpočet'!AU130+'Stavební rozpočet'!AU134+'Stavební rozpočet'!AU165+'Stavební rozpočet'!AU215+'Stavební rozpočet'!AU245+'Stavební rozpočet'!AU280+'Stavební rozpočet'!AU302+'Stavební rozpočet'!AU309+'Stavební rozpočet'!AU316+'Stavební rozpočet'!AU361+'Stavební rozpočet'!AU365+'Stavební rozpočet'!AU372+'Stavební rozpočet'!AU387+'Stavební rozpočet'!AU407+'Stavební rozpočet'!AU411+'Stavební rozpočet'!AU414+'Stavební rozpočet'!AU416+'Stavební rozpočet'!AU419+'Stavební rozpočet'!AU435+'Stavební rozpočet'!AU437+'Stavební rozpočet'!AU454)+(F22+I22+F23+I23+I24)</f>
        <v>0</v>
      </c>
      <c r="D27" s="123" t="s">
        <v>774</v>
      </c>
      <c r="E27" s="124"/>
      <c r="F27" s="78">
        <f>ROUND(C27*(21/100),2)</f>
        <v>0</v>
      </c>
      <c r="G27" s="123" t="s">
        <v>786</v>
      </c>
      <c r="H27" s="124"/>
      <c r="I27" s="78">
        <f>SUM(F26:F27)+I26</f>
        <v>0</v>
      </c>
      <c r="J27" s="6"/>
    </row>
    <row r="28" spans="1:9" ht="12.75">
      <c r="A28" s="70"/>
      <c r="B28" s="70"/>
      <c r="C28" s="70"/>
      <c r="D28" s="70"/>
      <c r="E28" s="70"/>
      <c r="F28" s="70"/>
      <c r="G28" s="70"/>
      <c r="H28" s="70"/>
      <c r="I28" s="70"/>
    </row>
    <row r="29" spans="1:10" ht="14.25" customHeight="1">
      <c r="A29" s="118" t="s">
        <v>763</v>
      </c>
      <c r="B29" s="119"/>
      <c r="C29" s="120"/>
      <c r="D29" s="118" t="s">
        <v>775</v>
      </c>
      <c r="E29" s="119"/>
      <c r="F29" s="120"/>
      <c r="G29" s="118" t="s">
        <v>787</v>
      </c>
      <c r="H29" s="119"/>
      <c r="I29" s="120"/>
      <c r="J29" s="59"/>
    </row>
    <row r="30" spans="1:10" ht="14.25" customHeight="1">
      <c r="A30" s="115"/>
      <c r="B30" s="116"/>
      <c r="C30" s="117"/>
      <c r="D30" s="115"/>
      <c r="E30" s="116"/>
      <c r="F30" s="117"/>
      <c r="G30" s="115"/>
      <c r="H30" s="116"/>
      <c r="I30" s="117"/>
      <c r="J30" s="59"/>
    </row>
    <row r="31" spans="1:10" ht="14.25" customHeight="1">
      <c r="A31" s="115"/>
      <c r="B31" s="116"/>
      <c r="C31" s="117"/>
      <c r="D31" s="115"/>
      <c r="E31" s="116"/>
      <c r="F31" s="117"/>
      <c r="G31" s="115"/>
      <c r="H31" s="116"/>
      <c r="I31" s="117"/>
      <c r="J31" s="59"/>
    </row>
    <row r="32" spans="1:10" ht="14.25" customHeight="1">
      <c r="A32" s="115"/>
      <c r="B32" s="116"/>
      <c r="C32" s="117"/>
      <c r="D32" s="115"/>
      <c r="E32" s="116"/>
      <c r="F32" s="117"/>
      <c r="G32" s="115"/>
      <c r="H32" s="116"/>
      <c r="I32" s="117"/>
      <c r="J32" s="59"/>
    </row>
    <row r="33" spans="1:10" ht="14.25" customHeight="1">
      <c r="A33" s="110" t="s">
        <v>764</v>
      </c>
      <c r="B33" s="111"/>
      <c r="C33" s="112"/>
      <c r="D33" s="110" t="s">
        <v>764</v>
      </c>
      <c r="E33" s="111"/>
      <c r="F33" s="112"/>
      <c r="G33" s="110" t="s">
        <v>764</v>
      </c>
      <c r="H33" s="111"/>
      <c r="I33" s="112"/>
      <c r="J33" s="59"/>
    </row>
    <row r="34" spans="1:9" ht="11.25" customHeight="1">
      <c r="A34" s="71" t="s">
        <v>137</v>
      </c>
      <c r="B34" s="73"/>
      <c r="C34" s="73"/>
      <c r="D34" s="73"/>
      <c r="E34" s="73"/>
      <c r="F34" s="73"/>
      <c r="G34" s="73"/>
      <c r="H34" s="73"/>
      <c r="I34" s="73"/>
    </row>
    <row r="35" spans="1:9" ht="12.75">
      <c r="A35" s="113"/>
      <c r="B35" s="114"/>
      <c r="C35" s="114"/>
      <c r="D35" s="114"/>
      <c r="E35" s="114"/>
      <c r="F35" s="114"/>
      <c r="G35" s="114"/>
      <c r="H35" s="114"/>
      <c r="I35" s="114"/>
    </row>
  </sheetData>
  <sheetProtection/>
  <mergeCells count="80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G23:H23"/>
    <mergeCell ref="A25:B25"/>
    <mergeCell ref="A26:B26"/>
    <mergeCell ref="D26:E26"/>
    <mergeCell ref="G26:H26"/>
    <mergeCell ref="A27:B27"/>
    <mergeCell ref="D27:E27"/>
    <mergeCell ref="G27:H27"/>
    <mergeCell ref="A29:C29"/>
    <mergeCell ref="D29:F29"/>
    <mergeCell ref="G29:I29"/>
    <mergeCell ref="A30:C30"/>
    <mergeCell ref="D30:F30"/>
    <mergeCell ref="G30:I30"/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22.140625" style="0" customWidth="1"/>
    <col min="5" max="5" width="21.00390625" style="0" customWidth="1"/>
    <col min="6" max="6" width="20.8515625" style="0" customWidth="1"/>
    <col min="7" max="7" width="37.140625" style="0" customWidth="1"/>
    <col min="8" max="9" width="0" style="0" hidden="1" customWidth="1"/>
  </cols>
  <sheetData>
    <row r="1" spans="1:7" ht="72.75" customHeight="1">
      <c r="A1" s="152" t="s">
        <v>743</v>
      </c>
      <c r="B1" s="141"/>
      <c r="C1" s="141"/>
      <c r="D1" s="141"/>
      <c r="E1" s="141"/>
      <c r="F1" s="141"/>
      <c r="G1" s="141"/>
    </row>
    <row r="2" spans="1:8" ht="12.75">
      <c r="A2" s="142" t="s">
        <v>1</v>
      </c>
      <c r="B2" s="143"/>
      <c r="C2" s="144" t="str">
        <f>'Stavební rozpočet'!C2</f>
        <v>Sanace a stavební úpravy knihovny v Novém Jičíně</v>
      </c>
      <c r="D2" s="153" t="s">
        <v>563</v>
      </c>
      <c r="E2" s="153" t="s">
        <v>6</v>
      </c>
      <c r="F2" s="147" t="s">
        <v>664</v>
      </c>
      <c r="G2" s="154" t="str">
        <f>'Stavební rozpočet'!I2</f>
        <v>Městské kulturní středisko Nový Jičín</v>
      </c>
      <c r="H2" s="6"/>
    </row>
    <row r="3" spans="1:8" ht="12.75">
      <c r="A3" s="137"/>
      <c r="B3" s="114"/>
      <c r="C3" s="146"/>
      <c r="D3" s="114"/>
      <c r="E3" s="114"/>
      <c r="F3" s="114"/>
      <c r="G3" s="139"/>
      <c r="H3" s="6"/>
    </row>
    <row r="4" spans="1:8" ht="12.75">
      <c r="A4" s="131" t="s">
        <v>2</v>
      </c>
      <c r="B4" s="114"/>
      <c r="C4" s="113" t="str">
        <f>'Stavební rozpočet'!C4</f>
        <v>Sanace spodní stavby, stavební úpravy</v>
      </c>
      <c r="D4" s="134" t="s">
        <v>564</v>
      </c>
      <c r="E4" s="134" t="s">
        <v>6</v>
      </c>
      <c r="F4" s="113" t="s">
        <v>665</v>
      </c>
      <c r="G4" s="135" t="str">
        <f>'Stavební rozpočet'!I4</f>
        <v>Ing Václav Toška</v>
      </c>
      <c r="H4" s="6"/>
    </row>
    <row r="5" spans="1:8" ht="12.75">
      <c r="A5" s="137"/>
      <c r="B5" s="114"/>
      <c r="C5" s="114"/>
      <c r="D5" s="114"/>
      <c r="E5" s="114"/>
      <c r="F5" s="114"/>
      <c r="G5" s="139"/>
      <c r="H5" s="6"/>
    </row>
    <row r="6" spans="1:8" ht="12.75">
      <c r="A6" s="131" t="s">
        <v>3</v>
      </c>
      <c r="B6" s="114"/>
      <c r="C6" s="113" t="str">
        <f>'Stavební rozpočet'!C6</f>
        <v> </v>
      </c>
      <c r="D6" s="134" t="s">
        <v>565</v>
      </c>
      <c r="E6" s="134" t="s">
        <v>6</v>
      </c>
      <c r="F6" s="113" t="s">
        <v>666</v>
      </c>
      <c r="G6" s="135" t="str">
        <f>'Stavební rozpočet'!I6</f>
        <v> </v>
      </c>
      <c r="H6" s="6"/>
    </row>
    <row r="7" spans="1:8" ht="12.75">
      <c r="A7" s="137"/>
      <c r="B7" s="114"/>
      <c r="C7" s="114"/>
      <c r="D7" s="114"/>
      <c r="E7" s="114"/>
      <c r="F7" s="114"/>
      <c r="G7" s="139"/>
      <c r="H7" s="6"/>
    </row>
    <row r="8" spans="1:8" ht="12.75">
      <c r="A8" s="131" t="s">
        <v>667</v>
      </c>
      <c r="B8" s="114"/>
      <c r="C8" s="113" t="str">
        <f>'Stavební rozpočet'!I8</f>
        <v>Ing Václav Toška</v>
      </c>
      <c r="D8" s="134" t="s">
        <v>566</v>
      </c>
      <c r="E8" s="134" t="s">
        <v>662</v>
      </c>
      <c r="F8" s="134" t="s">
        <v>566</v>
      </c>
      <c r="G8" s="135" t="str">
        <f>'Stavební rozpočet'!G8</f>
        <v>25.02.2021</v>
      </c>
      <c r="H8" s="6"/>
    </row>
    <row r="9" spans="1:8" ht="12.75">
      <c r="A9" s="149"/>
      <c r="B9" s="150"/>
      <c r="C9" s="150"/>
      <c r="D9" s="150"/>
      <c r="E9" s="150"/>
      <c r="F9" s="150"/>
      <c r="G9" s="151"/>
      <c r="H9" s="6"/>
    </row>
    <row r="10" spans="1:8" ht="12.75">
      <c r="A10" s="49" t="s">
        <v>744</v>
      </c>
      <c r="B10" s="53" t="s">
        <v>139</v>
      </c>
      <c r="C10" s="56" t="s">
        <v>745</v>
      </c>
      <c r="D10" s="57" t="s">
        <v>746</v>
      </c>
      <c r="E10" s="57" t="s">
        <v>747</v>
      </c>
      <c r="F10" s="57" t="s">
        <v>748</v>
      </c>
      <c r="G10" s="58" t="s">
        <v>749</v>
      </c>
      <c r="H10" s="59"/>
    </row>
    <row r="11" spans="1:9" ht="12.75">
      <c r="A11" s="50" t="s">
        <v>691</v>
      </c>
      <c r="B11" s="54"/>
      <c r="C11" s="54" t="s">
        <v>278</v>
      </c>
      <c r="D11" s="61">
        <f>'Stavební rozpočet'!I12</f>
        <v>0</v>
      </c>
      <c r="E11" s="61">
        <f>'Stavební rozpočet'!J12</f>
        <v>0</v>
      </c>
      <c r="F11" s="61">
        <f>'Stavební rozpočet'!K12</f>
        <v>0</v>
      </c>
      <c r="G11" s="63">
        <f>'Stavební rozpočet'!O12</f>
        <v>119.67402609360002</v>
      </c>
      <c r="H11" s="60" t="s">
        <v>750</v>
      </c>
      <c r="I11" s="36">
        <f aca="true" t="shared" si="0" ref="I11:I39">IF(H11="F",0,F11)</f>
        <v>0</v>
      </c>
    </row>
    <row r="12" spans="1:9" ht="12.75">
      <c r="A12" s="51" t="s">
        <v>691</v>
      </c>
      <c r="B12" s="19" t="s">
        <v>17</v>
      </c>
      <c r="C12" s="19" t="s">
        <v>279</v>
      </c>
      <c r="D12" s="36">
        <f>'Stavební rozpočet'!I13</f>
        <v>0</v>
      </c>
      <c r="E12" s="36">
        <f>'Stavební rozpočet'!J13</f>
        <v>0</v>
      </c>
      <c r="F12" s="36">
        <f>'Stavební rozpočet'!K13</f>
        <v>0</v>
      </c>
      <c r="G12" s="64">
        <f>'Stavební rozpočet'!O13</f>
        <v>17.428</v>
      </c>
      <c r="H12" s="60" t="s">
        <v>751</v>
      </c>
      <c r="I12" s="36">
        <f t="shared" si="0"/>
        <v>0</v>
      </c>
    </row>
    <row r="13" spans="1:9" ht="12.75">
      <c r="A13" s="51" t="s">
        <v>691</v>
      </c>
      <c r="B13" s="19" t="s">
        <v>19</v>
      </c>
      <c r="C13" s="19" t="s">
        <v>287</v>
      </c>
      <c r="D13" s="36">
        <f>'Stavební rozpočet'!I26</f>
        <v>0</v>
      </c>
      <c r="E13" s="36">
        <f>'Stavební rozpočet'!J26</f>
        <v>0</v>
      </c>
      <c r="F13" s="36">
        <f>'Stavební rozpočet'!K26</f>
        <v>0</v>
      </c>
      <c r="G13" s="64">
        <f>'Stavební rozpočet'!O26</f>
        <v>0</v>
      </c>
      <c r="H13" s="60" t="s">
        <v>751</v>
      </c>
      <c r="I13" s="36">
        <f t="shared" si="0"/>
        <v>0</v>
      </c>
    </row>
    <row r="14" spans="1:9" ht="12.75">
      <c r="A14" s="51" t="s">
        <v>691</v>
      </c>
      <c r="B14" s="19" t="s">
        <v>22</v>
      </c>
      <c r="C14" s="19" t="s">
        <v>301</v>
      </c>
      <c r="D14" s="36">
        <f>'Stavební rozpočet'!I42</f>
        <v>0</v>
      </c>
      <c r="E14" s="36">
        <f>'Stavební rozpočet'!J42</f>
        <v>0</v>
      </c>
      <c r="F14" s="36">
        <f>'Stavební rozpočet'!K42</f>
        <v>0</v>
      </c>
      <c r="G14" s="64">
        <f>'Stavební rozpočet'!O42</f>
        <v>0</v>
      </c>
      <c r="H14" s="60" t="s">
        <v>751</v>
      </c>
      <c r="I14" s="36">
        <f t="shared" si="0"/>
        <v>0</v>
      </c>
    </row>
    <row r="15" spans="1:9" ht="12.75">
      <c r="A15" s="51" t="s">
        <v>691</v>
      </c>
      <c r="B15" s="19" t="s">
        <v>24</v>
      </c>
      <c r="C15" s="19" t="s">
        <v>311</v>
      </c>
      <c r="D15" s="36">
        <f>'Stavební rozpočet'!I64</f>
        <v>0</v>
      </c>
      <c r="E15" s="36">
        <f>'Stavební rozpočet'!J64</f>
        <v>0</v>
      </c>
      <c r="F15" s="36">
        <f>'Stavební rozpočet'!K64</f>
        <v>0</v>
      </c>
      <c r="G15" s="64">
        <f>'Stavební rozpočet'!O64</f>
        <v>0.00034</v>
      </c>
      <c r="H15" s="60" t="s">
        <v>751</v>
      </c>
      <c r="I15" s="36">
        <f t="shared" si="0"/>
        <v>0</v>
      </c>
    </row>
    <row r="16" spans="1:9" ht="12.75">
      <c r="A16" s="51" t="s">
        <v>691</v>
      </c>
      <c r="B16" s="19" t="s">
        <v>62</v>
      </c>
      <c r="C16" s="19" t="s">
        <v>319</v>
      </c>
      <c r="D16" s="36">
        <f>'Stavební rozpočet'!I72</f>
        <v>0</v>
      </c>
      <c r="E16" s="36">
        <f>'Stavební rozpočet'!J72</f>
        <v>0</v>
      </c>
      <c r="F16" s="36">
        <f>'Stavební rozpočet'!K72</f>
        <v>0</v>
      </c>
      <c r="G16" s="64">
        <f>'Stavební rozpočet'!O72</f>
        <v>81.86348000000001</v>
      </c>
      <c r="H16" s="60" t="s">
        <v>751</v>
      </c>
      <c r="I16" s="36">
        <f t="shared" si="0"/>
        <v>0</v>
      </c>
    </row>
    <row r="17" spans="1:9" ht="12.75">
      <c r="A17" s="51" t="s">
        <v>691</v>
      </c>
      <c r="B17" s="19" t="s">
        <v>37</v>
      </c>
      <c r="C17" s="19" t="s">
        <v>345</v>
      </c>
      <c r="D17" s="36">
        <f>'Stavební rozpočet'!I117</f>
        <v>0</v>
      </c>
      <c r="E17" s="36">
        <f>'Stavební rozpočet'!J117</f>
        <v>0</v>
      </c>
      <c r="F17" s="36">
        <f>'Stavební rozpočet'!K117</f>
        <v>0</v>
      </c>
      <c r="G17" s="64">
        <f>'Stavební rozpočet'!O117</f>
        <v>3.12006</v>
      </c>
      <c r="H17" s="60" t="s">
        <v>751</v>
      </c>
      <c r="I17" s="36">
        <f t="shared" si="0"/>
        <v>0</v>
      </c>
    </row>
    <row r="18" spans="1:9" ht="12.75">
      <c r="A18" s="51" t="s">
        <v>691</v>
      </c>
      <c r="B18" s="19" t="s">
        <v>34</v>
      </c>
      <c r="C18" s="19" t="s">
        <v>351</v>
      </c>
      <c r="D18" s="36">
        <f>'Stavební rozpočet'!I125</f>
        <v>0</v>
      </c>
      <c r="E18" s="36">
        <f>'Stavební rozpočet'!J125</f>
        <v>0</v>
      </c>
      <c r="F18" s="36">
        <f>'Stavební rozpočet'!K125</f>
        <v>0</v>
      </c>
      <c r="G18" s="64">
        <f>'Stavební rozpočet'!O125</f>
        <v>0.041606000000000004</v>
      </c>
      <c r="H18" s="60" t="s">
        <v>751</v>
      </c>
      <c r="I18" s="36">
        <f t="shared" si="0"/>
        <v>0</v>
      </c>
    </row>
    <row r="19" spans="1:9" ht="12.75">
      <c r="A19" s="51" t="s">
        <v>691</v>
      </c>
      <c r="B19" s="19" t="s">
        <v>33</v>
      </c>
      <c r="C19" s="19" t="s">
        <v>356</v>
      </c>
      <c r="D19" s="36">
        <f>'Stavební rozpočet'!I130</f>
        <v>0</v>
      </c>
      <c r="E19" s="36">
        <f>'Stavební rozpočet'!J130</f>
        <v>0</v>
      </c>
      <c r="F19" s="36">
        <f>'Stavební rozpočet'!K130</f>
        <v>0</v>
      </c>
      <c r="G19" s="64">
        <f>'Stavební rozpočet'!O130</f>
        <v>1.6159999999999999</v>
      </c>
      <c r="H19" s="60" t="s">
        <v>751</v>
      </c>
      <c r="I19" s="36">
        <f t="shared" si="0"/>
        <v>0</v>
      </c>
    </row>
    <row r="20" spans="1:9" ht="12.75">
      <c r="A20" s="51" t="s">
        <v>691</v>
      </c>
      <c r="B20" s="19" t="s">
        <v>68</v>
      </c>
      <c r="C20" s="19" t="s">
        <v>360</v>
      </c>
      <c r="D20" s="36">
        <f>'Stavební rozpočet'!I134</f>
        <v>0</v>
      </c>
      <c r="E20" s="36">
        <f>'Stavební rozpočet'!J134</f>
        <v>0</v>
      </c>
      <c r="F20" s="36">
        <f>'Stavební rozpočet'!K134</f>
        <v>0</v>
      </c>
      <c r="G20" s="64">
        <f>'Stavební rozpočet'!O134</f>
        <v>1.2692599999999998</v>
      </c>
      <c r="H20" s="60" t="s">
        <v>751</v>
      </c>
      <c r="I20" s="36">
        <f t="shared" si="0"/>
        <v>0</v>
      </c>
    </row>
    <row r="21" spans="1:9" ht="12.75">
      <c r="A21" s="51" t="s">
        <v>691</v>
      </c>
      <c r="B21" s="19" t="s">
        <v>182</v>
      </c>
      <c r="C21" s="19" t="s">
        <v>388</v>
      </c>
      <c r="D21" s="36">
        <f>'Stavební rozpočet'!I165</f>
        <v>0</v>
      </c>
      <c r="E21" s="36">
        <f>'Stavební rozpočet'!J165</f>
        <v>0</v>
      </c>
      <c r="F21" s="36">
        <f>'Stavební rozpočet'!K165</f>
        <v>0</v>
      </c>
      <c r="G21" s="64">
        <f>'Stavební rozpočet'!O165</f>
        <v>1.30622962</v>
      </c>
      <c r="H21" s="60" t="s">
        <v>751</v>
      </c>
      <c r="I21" s="36">
        <f t="shared" si="0"/>
        <v>0</v>
      </c>
    </row>
    <row r="22" spans="1:9" ht="12.75">
      <c r="A22" s="51" t="s">
        <v>691</v>
      </c>
      <c r="B22" s="19" t="s">
        <v>192</v>
      </c>
      <c r="C22" s="19" t="s">
        <v>420</v>
      </c>
      <c r="D22" s="36">
        <f>'Stavební rozpočet'!I215</f>
        <v>0</v>
      </c>
      <c r="E22" s="36">
        <f>'Stavební rozpočet'!J215</f>
        <v>0</v>
      </c>
      <c r="F22" s="36">
        <f>'Stavební rozpočet'!K215</f>
        <v>0</v>
      </c>
      <c r="G22" s="64">
        <f>'Stavební rozpočet'!O215</f>
        <v>0.8858700000000002</v>
      </c>
      <c r="H22" s="60" t="s">
        <v>751</v>
      </c>
      <c r="I22" s="36">
        <f t="shared" si="0"/>
        <v>0</v>
      </c>
    </row>
    <row r="23" spans="1:9" ht="12.75">
      <c r="A23" s="51" t="s">
        <v>691</v>
      </c>
      <c r="B23" s="19" t="s">
        <v>67</v>
      </c>
      <c r="C23" s="19" t="s">
        <v>437</v>
      </c>
      <c r="D23" s="36">
        <f>'Stavební rozpočet'!I245</f>
        <v>0</v>
      </c>
      <c r="E23" s="36">
        <f>'Stavební rozpočet'!J245</f>
        <v>0</v>
      </c>
      <c r="F23" s="36">
        <f>'Stavební rozpočet'!K245</f>
        <v>0</v>
      </c>
      <c r="G23" s="64">
        <f>'Stavební rozpočet'!O245</f>
        <v>11.1414746736</v>
      </c>
      <c r="H23" s="60" t="s">
        <v>751</v>
      </c>
      <c r="I23" s="36">
        <f t="shared" si="0"/>
        <v>0</v>
      </c>
    </row>
    <row r="24" spans="1:9" ht="12.75">
      <c r="A24" s="51" t="s">
        <v>691</v>
      </c>
      <c r="B24" s="19" t="s">
        <v>69</v>
      </c>
      <c r="C24" s="19" t="s">
        <v>447</v>
      </c>
      <c r="D24" s="36">
        <f>'Stavební rozpočet'!I280</f>
        <v>0</v>
      </c>
      <c r="E24" s="36">
        <f>'Stavební rozpočet'!J280</f>
        <v>0</v>
      </c>
      <c r="F24" s="36">
        <f>'Stavební rozpočet'!K280</f>
        <v>0</v>
      </c>
      <c r="G24" s="64">
        <f>'Stavební rozpočet'!O280</f>
        <v>0.0064875</v>
      </c>
      <c r="H24" s="60" t="s">
        <v>751</v>
      </c>
      <c r="I24" s="36">
        <f t="shared" si="0"/>
        <v>0</v>
      </c>
    </row>
    <row r="25" spans="1:9" ht="12.75">
      <c r="A25" s="51" t="s">
        <v>691</v>
      </c>
      <c r="B25" s="19" t="s">
        <v>211</v>
      </c>
      <c r="C25" s="19" t="s">
        <v>462</v>
      </c>
      <c r="D25" s="36">
        <f>'Stavební rozpočet'!I302</f>
        <v>0</v>
      </c>
      <c r="E25" s="36">
        <f>'Stavební rozpočet'!J302</f>
        <v>0</v>
      </c>
      <c r="F25" s="36">
        <f>'Stavební rozpočet'!K302</f>
        <v>0</v>
      </c>
      <c r="G25" s="64">
        <f>'Stavební rozpočet'!O302</f>
        <v>0.038911999999999995</v>
      </c>
      <c r="H25" s="60" t="s">
        <v>751</v>
      </c>
      <c r="I25" s="36">
        <f t="shared" si="0"/>
        <v>0</v>
      </c>
    </row>
    <row r="26" spans="1:9" ht="12.75">
      <c r="A26" s="51" t="s">
        <v>691</v>
      </c>
      <c r="B26" s="19" t="s">
        <v>215</v>
      </c>
      <c r="C26" s="19" t="s">
        <v>469</v>
      </c>
      <c r="D26" s="36">
        <f>'Stavební rozpočet'!I309</f>
        <v>0</v>
      </c>
      <c r="E26" s="36">
        <f>'Stavební rozpočet'!J309</f>
        <v>0</v>
      </c>
      <c r="F26" s="36">
        <f>'Stavební rozpočet'!K309</f>
        <v>0</v>
      </c>
      <c r="G26" s="64">
        <f>'Stavební rozpočet'!O309</f>
        <v>0.09252250000000001</v>
      </c>
      <c r="H26" s="60" t="s">
        <v>751</v>
      </c>
      <c r="I26" s="36">
        <f t="shared" si="0"/>
        <v>0</v>
      </c>
    </row>
    <row r="27" spans="1:9" ht="12.75">
      <c r="A27" s="51" t="s">
        <v>691</v>
      </c>
      <c r="B27" s="19" t="s">
        <v>218</v>
      </c>
      <c r="C27" s="19" t="s">
        <v>475</v>
      </c>
      <c r="D27" s="36">
        <f>'Stavební rozpočet'!I316</f>
        <v>0</v>
      </c>
      <c r="E27" s="36">
        <f>'Stavební rozpočet'!J316</f>
        <v>0</v>
      </c>
      <c r="F27" s="36">
        <f>'Stavební rozpočet'!K316</f>
        <v>0</v>
      </c>
      <c r="G27" s="64">
        <f>'Stavební rozpočet'!O316</f>
        <v>0.285413</v>
      </c>
      <c r="H27" s="60" t="s">
        <v>751</v>
      </c>
      <c r="I27" s="36">
        <f t="shared" si="0"/>
        <v>0</v>
      </c>
    </row>
    <row r="28" spans="1:9" ht="12.75">
      <c r="A28" s="51" t="s">
        <v>691</v>
      </c>
      <c r="B28" s="19" t="s">
        <v>230</v>
      </c>
      <c r="C28" s="19" t="s">
        <v>495</v>
      </c>
      <c r="D28" s="36">
        <f>'Stavební rozpočet'!I361</f>
        <v>0</v>
      </c>
      <c r="E28" s="36">
        <f>'Stavební rozpočet'!J361</f>
        <v>0</v>
      </c>
      <c r="F28" s="36">
        <f>'Stavební rozpočet'!K361</f>
        <v>0</v>
      </c>
      <c r="G28" s="64">
        <f>'Stavební rozpočet'!O361</f>
        <v>0.0033</v>
      </c>
      <c r="H28" s="60" t="s">
        <v>751</v>
      </c>
      <c r="I28" s="36">
        <f t="shared" si="0"/>
        <v>0</v>
      </c>
    </row>
    <row r="29" spans="1:9" ht="12.75">
      <c r="A29" s="51" t="s">
        <v>691</v>
      </c>
      <c r="B29" s="19" t="s">
        <v>49</v>
      </c>
      <c r="C29" s="19" t="s">
        <v>498</v>
      </c>
      <c r="D29" s="36">
        <f>'Stavební rozpočet'!I365</f>
        <v>0</v>
      </c>
      <c r="E29" s="36">
        <f>'Stavební rozpočet'!J365</f>
        <v>0</v>
      </c>
      <c r="F29" s="36">
        <f>'Stavební rozpočet'!K365</f>
        <v>0</v>
      </c>
      <c r="G29" s="64">
        <f>'Stavební rozpočet'!O365</f>
        <v>0.40810080000000004</v>
      </c>
      <c r="H29" s="60" t="s">
        <v>751</v>
      </c>
      <c r="I29" s="36">
        <f t="shared" si="0"/>
        <v>0</v>
      </c>
    </row>
    <row r="30" spans="1:9" ht="12.75">
      <c r="A30" s="51" t="s">
        <v>691</v>
      </c>
      <c r="B30" s="19" t="s">
        <v>235</v>
      </c>
      <c r="C30" s="19" t="s">
        <v>504</v>
      </c>
      <c r="D30" s="36">
        <f>'Stavební rozpočet'!I372</f>
        <v>0</v>
      </c>
      <c r="E30" s="36">
        <f>'Stavební rozpočet'!J372</f>
        <v>0</v>
      </c>
      <c r="F30" s="36">
        <f>'Stavební rozpočet'!K372</f>
        <v>0</v>
      </c>
      <c r="G30" s="64">
        <f>'Stavební rozpočet'!O372</f>
        <v>0.02856</v>
      </c>
      <c r="H30" s="60" t="s">
        <v>751</v>
      </c>
      <c r="I30" s="36">
        <f t="shared" si="0"/>
        <v>0</v>
      </c>
    </row>
    <row r="31" spans="1:9" ht="12.75">
      <c r="A31" s="51" t="s">
        <v>691</v>
      </c>
      <c r="B31" s="19" t="s">
        <v>93</v>
      </c>
      <c r="C31" s="19" t="s">
        <v>512</v>
      </c>
      <c r="D31" s="36">
        <f>'Stavební rozpočet'!I387</f>
        <v>0</v>
      </c>
      <c r="E31" s="36">
        <f>'Stavební rozpočet'!J387</f>
        <v>0</v>
      </c>
      <c r="F31" s="36">
        <f>'Stavební rozpočet'!K387</f>
        <v>0</v>
      </c>
      <c r="G31" s="64">
        <f>'Stavební rozpočet'!O387</f>
        <v>0.105378</v>
      </c>
      <c r="H31" s="60" t="s">
        <v>751</v>
      </c>
      <c r="I31" s="36">
        <f t="shared" si="0"/>
        <v>0</v>
      </c>
    </row>
    <row r="32" spans="1:9" ht="12.75">
      <c r="A32" s="51" t="s">
        <v>691</v>
      </c>
      <c r="B32" s="19" t="s">
        <v>95</v>
      </c>
      <c r="C32" s="19" t="s">
        <v>525</v>
      </c>
      <c r="D32" s="36">
        <f>'Stavební rozpočet'!I407</f>
        <v>0</v>
      </c>
      <c r="E32" s="36">
        <f>'Stavební rozpočet'!J407</f>
        <v>0</v>
      </c>
      <c r="F32" s="36">
        <f>'Stavební rozpočet'!K407</f>
        <v>0</v>
      </c>
      <c r="G32" s="64">
        <f>'Stavební rozpočet'!O407</f>
        <v>0</v>
      </c>
      <c r="H32" s="60" t="s">
        <v>751</v>
      </c>
      <c r="I32" s="36">
        <f t="shared" si="0"/>
        <v>0</v>
      </c>
    </row>
    <row r="33" spans="1:9" ht="12.75">
      <c r="A33" s="51" t="s">
        <v>691</v>
      </c>
      <c r="B33" s="19" t="s">
        <v>100</v>
      </c>
      <c r="C33" s="19" t="s">
        <v>529</v>
      </c>
      <c r="D33" s="36">
        <f>'Stavební rozpočet'!I411</f>
        <v>0</v>
      </c>
      <c r="E33" s="36">
        <f>'Stavební rozpočet'!J411</f>
        <v>0</v>
      </c>
      <c r="F33" s="36">
        <f>'Stavební rozpočet'!K411</f>
        <v>0</v>
      </c>
      <c r="G33" s="64">
        <f>'Stavební rozpočet'!O411</f>
        <v>0.001452</v>
      </c>
      <c r="H33" s="60" t="s">
        <v>751</v>
      </c>
      <c r="I33" s="36">
        <f t="shared" si="0"/>
        <v>0</v>
      </c>
    </row>
    <row r="34" spans="1:9" ht="12.75">
      <c r="A34" s="51" t="s">
        <v>691</v>
      </c>
      <c r="B34" s="19" t="s">
        <v>101</v>
      </c>
      <c r="C34" s="19" t="s">
        <v>532</v>
      </c>
      <c r="D34" s="36">
        <f>'Stavební rozpočet'!I414</f>
        <v>0</v>
      </c>
      <c r="E34" s="36">
        <f>'Stavební rozpočet'!J414</f>
        <v>0</v>
      </c>
      <c r="F34" s="36">
        <f>'Stavební rozpočet'!K414</f>
        <v>0</v>
      </c>
      <c r="G34" s="64">
        <f>'Stavební rozpočet'!O414</f>
        <v>0</v>
      </c>
      <c r="H34" s="60" t="s">
        <v>751</v>
      </c>
      <c r="I34" s="36">
        <f t="shared" si="0"/>
        <v>0</v>
      </c>
    </row>
    <row r="35" spans="1:9" ht="12.75">
      <c r="A35" s="51" t="s">
        <v>691</v>
      </c>
      <c r="B35" s="19" t="s">
        <v>253</v>
      </c>
      <c r="C35" s="19" t="s">
        <v>534</v>
      </c>
      <c r="D35" s="36">
        <f>'Stavební rozpočet'!I416</f>
        <v>0</v>
      </c>
      <c r="E35" s="36">
        <f>'Stavební rozpočet'!J416</f>
        <v>0</v>
      </c>
      <c r="F35" s="36">
        <f>'Stavební rozpočet'!K416</f>
        <v>0</v>
      </c>
      <c r="G35" s="64">
        <f>'Stavební rozpočet'!O416</f>
        <v>0</v>
      </c>
      <c r="H35" s="60" t="s">
        <v>751</v>
      </c>
      <c r="I35" s="36">
        <f t="shared" si="0"/>
        <v>0</v>
      </c>
    </row>
    <row r="36" spans="1:9" ht="12.75">
      <c r="A36" s="51" t="s">
        <v>691</v>
      </c>
      <c r="B36" s="19" t="s">
        <v>255</v>
      </c>
      <c r="C36" s="19" t="s">
        <v>536</v>
      </c>
      <c r="D36" s="36">
        <f>'Stavební rozpočet'!I419</f>
        <v>0</v>
      </c>
      <c r="E36" s="36">
        <f>'Stavební rozpočet'!J419</f>
        <v>0</v>
      </c>
      <c r="F36" s="36">
        <f>'Stavební rozpočet'!K419</f>
        <v>0</v>
      </c>
      <c r="G36" s="64">
        <f>'Stavební rozpočet'!O419</f>
        <v>0.03158</v>
      </c>
      <c r="H36" s="60" t="s">
        <v>751</v>
      </c>
      <c r="I36" s="36">
        <f t="shared" si="0"/>
        <v>0</v>
      </c>
    </row>
    <row r="37" spans="1:9" ht="12.75">
      <c r="A37" s="51" t="s">
        <v>691</v>
      </c>
      <c r="B37" s="19" t="s">
        <v>262</v>
      </c>
      <c r="C37" s="19" t="s">
        <v>549</v>
      </c>
      <c r="D37" s="36">
        <f>'Stavební rozpočet'!I435</f>
        <v>0</v>
      </c>
      <c r="E37" s="36">
        <f>'Stavební rozpočet'!J435</f>
        <v>0</v>
      </c>
      <c r="F37" s="36">
        <f>'Stavební rozpočet'!K435</f>
        <v>0</v>
      </c>
      <c r="G37" s="64">
        <f>'Stavební rozpočet'!O435</f>
        <v>0</v>
      </c>
      <c r="H37" s="60" t="s">
        <v>751</v>
      </c>
      <c r="I37" s="36">
        <f t="shared" si="0"/>
        <v>0</v>
      </c>
    </row>
    <row r="38" spans="1:9" ht="12.75">
      <c r="A38" s="51" t="s">
        <v>691</v>
      </c>
      <c r="B38" s="19" t="s">
        <v>264</v>
      </c>
      <c r="C38" s="19" t="s">
        <v>551</v>
      </c>
      <c r="D38" s="36">
        <f>'Stavební rozpočet'!I437</f>
        <v>0</v>
      </c>
      <c r="E38" s="36">
        <f>'Stavební rozpočet'!J437</f>
        <v>0</v>
      </c>
      <c r="F38" s="36">
        <f>'Stavební rozpočet'!K437</f>
        <v>0</v>
      </c>
      <c r="G38" s="64">
        <f>'Stavební rozpočet'!O437</f>
        <v>0</v>
      </c>
      <c r="H38" s="60" t="s">
        <v>751</v>
      </c>
      <c r="I38" s="36">
        <f t="shared" si="0"/>
        <v>0</v>
      </c>
    </row>
    <row r="39" spans="1:9" ht="12.75">
      <c r="A39" s="52" t="s">
        <v>691</v>
      </c>
      <c r="B39" s="55" t="s">
        <v>273</v>
      </c>
      <c r="C39" s="55" t="s">
        <v>561</v>
      </c>
      <c r="D39" s="62">
        <f>'Stavební rozpočet'!I454</f>
        <v>0</v>
      </c>
      <c r="E39" s="62">
        <f>'Stavební rozpočet'!J454</f>
        <v>0</v>
      </c>
      <c r="F39" s="62">
        <f>'Stavební rozpočet'!K454</f>
        <v>0</v>
      </c>
      <c r="G39" s="65">
        <f>'Stavební rozpočet'!O454</f>
        <v>0</v>
      </c>
      <c r="H39" s="60" t="s">
        <v>751</v>
      </c>
      <c r="I39" s="36">
        <f t="shared" si="0"/>
        <v>0</v>
      </c>
    </row>
    <row r="40" spans="1:7" ht="12.75">
      <c r="A40" s="8"/>
      <c r="B40" s="8"/>
      <c r="C40" s="8"/>
      <c r="D40" s="8"/>
      <c r="E40" s="30" t="s">
        <v>675</v>
      </c>
      <c r="F40" s="44">
        <f>SUM(I11:I39)</f>
        <v>0</v>
      </c>
      <c r="G40" s="8"/>
    </row>
  </sheetData>
  <sheetProtection/>
  <mergeCells count="25"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4:G5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8:G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58"/>
  <sheetViews>
    <sheetView tabSelected="1" zoomScalePageLayoutView="0" workbookViewId="0" topLeftCell="A1">
      <pane ySplit="11" topLeftCell="A384" activePane="bottomLeft" state="frozen"/>
      <selection pane="topLeft" activeCell="A1" sqref="A1"/>
      <selection pane="bottomLeft" activeCell="C21" sqref="C21:E21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21.7109375" style="0" customWidth="1"/>
    <col min="4" max="4" width="20.421875" style="0" customWidth="1"/>
    <col min="5" max="5" width="46.8515625" style="0" customWidth="1"/>
    <col min="6" max="6" width="43.00390625" style="0" customWidth="1"/>
    <col min="7" max="7" width="12.8515625" style="0" customWidth="1"/>
    <col min="8" max="8" width="12.00390625" style="0" customWidth="1"/>
    <col min="9" max="11" width="14.28125" style="0" customWidth="1"/>
    <col min="12" max="15" width="11.7109375" style="0" customWidth="1"/>
    <col min="16" max="24" width="11.57421875" style="0" customWidth="1"/>
    <col min="25" max="64" width="12.140625" style="0" hidden="1" customWidth="1"/>
  </cols>
  <sheetData>
    <row r="1" spans="1:15" ht="72.75" customHeight="1">
      <c r="A1" s="152" t="s">
        <v>0</v>
      </c>
      <c r="B1" s="141"/>
      <c r="C1" s="141"/>
      <c r="D1" s="141"/>
      <c r="E1" s="187"/>
      <c r="F1" s="188"/>
      <c r="G1" s="189"/>
      <c r="H1" s="187"/>
      <c r="I1" s="188"/>
      <c r="J1" s="189"/>
      <c r="K1" s="141"/>
      <c r="L1" s="141"/>
      <c r="M1" s="141"/>
      <c r="N1" s="141"/>
      <c r="O1" s="141"/>
    </row>
    <row r="2" spans="1:16" ht="12.75">
      <c r="A2" s="142" t="s">
        <v>1</v>
      </c>
      <c r="B2" s="143"/>
      <c r="C2" s="144" t="s">
        <v>274</v>
      </c>
      <c r="D2" s="145"/>
      <c r="E2" s="153" t="s">
        <v>563</v>
      </c>
      <c r="F2" s="143"/>
      <c r="G2" s="153" t="s">
        <v>6</v>
      </c>
      <c r="H2" s="147" t="s">
        <v>664</v>
      </c>
      <c r="I2" s="147" t="s">
        <v>670</v>
      </c>
      <c r="J2" s="143"/>
      <c r="K2" s="143"/>
      <c r="L2" s="143"/>
      <c r="M2" s="143"/>
      <c r="N2" s="143"/>
      <c r="O2" s="190"/>
      <c r="P2" s="6"/>
    </row>
    <row r="3" spans="1:16" ht="12.75">
      <c r="A3" s="137"/>
      <c r="B3" s="114"/>
      <c r="C3" s="146"/>
      <c r="D3" s="146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39"/>
      <c r="P3" s="6"/>
    </row>
    <row r="4" spans="1:16" ht="12.75">
      <c r="A4" s="131" t="s">
        <v>2</v>
      </c>
      <c r="B4" s="114"/>
      <c r="C4" s="113" t="s">
        <v>275</v>
      </c>
      <c r="D4" s="114"/>
      <c r="E4" s="134" t="s">
        <v>564</v>
      </c>
      <c r="F4" s="114"/>
      <c r="G4" s="134" t="s">
        <v>6</v>
      </c>
      <c r="H4" s="113" t="s">
        <v>665</v>
      </c>
      <c r="I4" s="113" t="s">
        <v>671</v>
      </c>
      <c r="J4" s="114"/>
      <c r="K4" s="114"/>
      <c r="L4" s="114"/>
      <c r="M4" s="114"/>
      <c r="N4" s="114"/>
      <c r="O4" s="139"/>
      <c r="P4" s="6"/>
    </row>
    <row r="5" spans="1:16" ht="12.75">
      <c r="A5" s="13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39"/>
      <c r="P5" s="6"/>
    </row>
    <row r="6" spans="1:16" ht="12.75">
      <c r="A6" s="131" t="s">
        <v>3</v>
      </c>
      <c r="B6" s="114"/>
      <c r="C6" s="113" t="s">
        <v>6</v>
      </c>
      <c r="D6" s="114"/>
      <c r="E6" s="134" t="s">
        <v>565</v>
      </c>
      <c r="F6" s="114"/>
      <c r="G6" s="134" t="s">
        <v>6</v>
      </c>
      <c r="H6" s="113" t="s">
        <v>666</v>
      </c>
      <c r="I6" s="134" t="s">
        <v>672</v>
      </c>
      <c r="J6" s="114"/>
      <c r="K6" s="114"/>
      <c r="L6" s="114"/>
      <c r="M6" s="114"/>
      <c r="N6" s="114"/>
      <c r="O6" s="139"/>
      <c r="P6" s="6"/>
    </row>
    <row r="7" spans="1:16" ht="12.75">
      <c r="A7" s="137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39"/>
      <c r="P7" s="6"/>
    </row>
    <row r="8" spans="1:16" ht="12.75">
      <c r="A8" s="131" t="s">
        <v>4</v>
      </c>
      <c r="B8" s="114"/>
      <c r="C8" s="113">
        <v>8013213</v>
      </c>
      <c r="D8" s="114"/>
      <c r="E8" s="134" t="s">
        <v>566</v>
      </c>
      <c r="F8" s="114"/>
      <c r="G8" s="134" t="s">
        <v>662</v>
      </c>
      <c r="H8" s="113" t="s">
        <v>667</v>
      </c>
      <c r="I8" s="113" t="s">
        <v>671</v>
      </c>
      <c r="J8" s="114"/>
      <c r="K8" s="114"/>
      <c r="L8" s="114"/>
      <c r="M8" s="114"/>
      <c r="N8" s="114"/>
      <c r="O8" s="139"/>
      <c r="P8" s="6"/>
    </row>
    <row r="9" spans="1:16" ht="12.75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1"/>
      <c r="P9" s="6"/>
    </row>
    <row r="10" spans="1:64" ht="12.75">
      <c r="A10" s="1" t="s">
        <v>5</v>
      </c>
      <c r="B10" s="10" t="s">
        <v>139</v>
      </c>
      <c r="C10" s="175" t="s">
        <v>276</v>
      </c>
      <c r="D10" s="176"/>
      <c r="E10" s="177"/>
      <c r="F10" s="10" t="s">
        <v>652</v>
      </c>
      <c r="G10" s="23" t="s">
        <v>663</v>
      </c>
      <c r="H10" s="27" t="s">
        <v>668</v>
      </c>
      <c r="I10" s="178" t="s">
        <v>673</v>
      </c>
      <c r="J10" s="179"/>
      <c r="K10" s="180"/>
      <c r="L10" s="178" t="s">
        <v>678</v>
      </c>
      <c r="M10" s="179"/>
      <c r="N10" s="179"/>
      <c r="O10" s="181"/>
      <c r="P10" s="6"/>
      <c r="BK10" s="34" t="s">
        <v>739</v>
      </c>
      <c r="BL10" s="40" t="s">
        <v>742</v>
      </c>
    </row>
    <row r="11" spans="1:62" ht="12.75">
      <c r="A11" s="2" t="s">
        <v>6</v>
      </c>
      <c r="B11" s="11" t="s">
        <v>6</v>
      </c>
      <c r="C11" s="182" t="s">
        <v>277</v>
      </c>
      <c r="D11" s="183"/>
      <c r="E11" s="184"/>
      <c r="F11" s="11" t="s">
        <v>6</v>
      </c>
      <c r="G11" s="11" t="s">
        <v>6</v>
      </c>
      <c r="H11" s="28" t="s">
        <v>669</v>
      </c>
      <c r="I11" s="29" t="s">
        <v>674</v>
      </c>
      <c r="J11" s="31" t="s">
        <v>676</v>
      </c>
      <c r="K11" s="32" t="s">
        <v>677</v>
      </c>
      <c r="L11" s="29" t="s">
        <v>679</v>
      </c>
      <c r="M11" s="31" t="s">
        <v>680</v>
      </c>
      <c r="N11" s="31" t="s">
        <v>681</v>
      </c>
      <c r="O11" s="31" t="s">
        <v>677</v>
      </c>
      <c r="P11" s="6"/>
      <c r="Z11" s="34" t="s">
        <v>682</v>
      </c>
      <c r="AA11" s="34" t="s">
        <v>683</v>
      </c>
      <c r="AB11" s="34" t="s">
        <v>684</v>
      </c>
      <c r="AC11" s="34" t="s">
        <v>685</v>
      </c>
      <c r="AD11" s="34" t="s">
        <v>686</v>
      </c>
      <c r="AE11" s="34" t="s">
        <v>687</v>
      </c>
      <c r="AF11" s="34" t="s">
        <v>688</v>
      </c>
      <c r="AG11" s="34" t="s">
        <v>689</v>
      </c>
      <c r="AH11" s="34" t="s">
        <v>690</v>
      </c>
      <c r="BH11" s="34" t="s">
        <v>736</v>
      </c>
      <c r="BI11" s="34" t="s">
        <v>737</v>
      </c>
      <c r="BJ11" s="34" t="s">
        <v>738</v>
      </c>
    </row>
    <row r="12" spans="1:16" ht="12.75">
      <c r="A12" s="3"/>
      <c r="B12" s="12"/>
      <c r="C12" s="185" t="s">
        <v>278</v>
      </c>
      <c r="D12" s="186"/>
      <c r="E12" s="186"/>
      <c r="F12" s="21" t="s">
        <v>6</v>
      </c>
      <c r="G12" s="21" t="s">
        <v>6</v>
      </c>
      <c r="H12" s="21" t="s">
        <v>6</v>
      </c>
      <c r="I12" s="42">
        <f>I13+I26+I42+I64+I72+I117+I125+I130+I134+I165+I215+I245+I280+I302+I309+I316+I361+I365+I372+I387+I407+I411+I414+I416+I419+I435+I437+I454</f>
        <v>0</v>
      </c>
      <c r="J12" s="42">
        <f>J13+J26+J42+J64+J72+J117+J125+J130+J134+J165+J215+J245+J280+J302+J309+J316+J361+J365+J372+J387+J407+J411+J414+J416+J419+J435+J437+J454</f>
        <v>0</v>
      </c>
      <c r="K12" s="42">
        <f>K13+K26+K42+K64+K72+K117+K125+K130+K134+K165+K215+K245+K280+K302+K309+K316+K361+K365+K372+K387+K407+K411+K414+K416+K419+K435+K437+K454</f>
        <v>0</v>
      </c>
      <c r="L12" s="33"/>
      <c r="M12" s="33"/>
      <c r="N12" s="33"/>
      <c r="O12" s="45">
        <f>O13+O26+O42+O64+O72+O117+O125+O130+O134+O165+O215+O245+O280+O302+O309+O316+O361+O365+O372+O387+O407+O411+O414+O416+O419+O435+O437+O454</f>
        <v>119.67402609360002</v>
      </c>
      <c r="P12" s="6"/>
    </row>
    <row r="13" spans="1:47" ht="12.75">
      <c r="A13" s="4"/>
      <c r="B13" s="13" t="s">
        <v>17</v>
      </c>
      <c r="C13" s="160" t="s">
        <v>279</v>
      </c>
      <c r="D13" s="161"/>
      <c r="E13" s="161"/>
      <c r="F13" s="22" t="s">
        <v>6</v>
      </c>
      <c r="G13" s="22" t="s">
        <v>6</v>
      </c>
      <c r="H13" s="22" t="s">
        <v>6</v>
      </c>
      <c r="I13" s="43">
        <f>SUM(I14:I24)</f>
        <v>0</v>
      </c>
      <c r="J13" s="43">
        <f>SUM(J14:J24)</f>
        <v>0</v>
      </c>
      <c r="K13" s="43">
        <f>SUM(K14:K24)</f>
        <v>0</v>
      </c>
      <c r="L13" s="34"/>
      <c r="M13" s="34"/>
      <c r="N13" s="34"/>
      <c r="O13" s="46">
        <f>SUM(O14:O24)</f>
        <v>17.428</v>
      </c>
      <c r="P13" s="6"/>
      <c r="AI13" s="34" t="s">
        <v>691</v>
      </c>
      <c r="AS13" s="43">
        <f>SUM(AJ14:AJ24)</f>
        <v>0</v>
      </c>
      <c r="AT13" s="43">
        <f>SUM(AK14:AK24)</f>
        <v>0</v>
      </c>
      <c r="AU13" s="43">
        <f>SUM(AL14:AL24)</f>
        <v>0</v>
      </c>
    </row>
    <row r="14" spans="1:64" ht="12.75">
      <c r="A14" s="88" t="s">
        <v>7</v>
      </c>
      <c r="B14" s="88" t="s">
        <v>140</v>
      </c>
      <c r="C14" s="156" t="s">
        <v>280</v>
      </c>
      <c r="D14" s="157"/>
      <c r="E14" s="158"/>
      <c r="F14" s="88" t="s">
        <v>653</v>
      </c>
      <c r="G14" s="96">
        <v>57</v>
      </c>
      <c r="H14" s="96">
        <v>0</v>
      </c>
      <c r="I14" s="96">
        <f>G14*AO14</f>
        <v>0</v>
      </c>
      <c r="J14" s="96">
        <f>G14*AP14</f>
        <v>0</v>
      </c>
      <c r="K14" s="96">
        <f>G14*H14</f>
        <v>0</v>
      </c>
      <c r="L14" s="96">
        <v>0</v>
      </c>
      <c r="M14" s="81">
        <v>0.138</v>
      </c>
      <c r="N14" s="98">
        <v>0.138</v>
      </c>
      <c r="O14" s="81">
        <f>G14*N14</f>
        <v>7.8660000000000005</v>
      </c>
      <c r="P14" s="85"/>
      <c r="Z14" s="36">
        <f>IF(AQ14="5",BJ14,0)</f>
        <v>0</v>
      </c>
      <c r="AB14" s="36">
        <f>IF(AQ14="1",BH14,0)</f>
        <v>0</v>
      </c>
      <c r="AC14" s="36">
        <f>IF(AQ14="1",BI14,0)</f>
        <v>0</v>
      </c>
      <c r="AD14" s="36">
        <f>IF(AQ14="7",BH14,0)</f>
        <v>0</v>
      </c>
      <c r="AE14" s="36">
        <f>IF(AQ14="7",BI14,0)</f>
        <v>0</v>
      </c>
      <c r="AF14" s="36">
        <f>IF(AQ14="2",BH14,0)</f>
        <v>0</v>
      </c>
      <c r="AG14" s="36">
        <f>IF(AQ14="2",BI14,0)</f>
        <v>0</v>
      </c>
      <c r="AH14" s="36">
        <f>IF(AQ14="0",BJ14,0)</f>
        <v>0</v>
      </c>
      <c r="AI14" s="34" t="s">
        <v>691</v>
      </c>
      <c r="AJ14" s="24">
        <f>IF(AN14=0,K14,0)</f>
        <v>0</v>
      </c>
      <c r="AK14" s="24">
        <f>IF(AN14=15,K14,0)</f>
        <v>0</v>
      </c>
      <c r="AL14" s="24">
        <f>IF(AN14=21,K14,0)</f>
        <v>0</v>
      </c>
      <c r="AN14" s="36">
        <v>21</v>
      </c>
      <c r="AO14" s="36">
        <f>H14*0</f>
        <v>0</v>
      </c>
      <c r="AP14" s="36">
        <f>H14*(1-0)</f>
        <v>0</v>
      </c>
      <c r="AQ14" s="37" t="s">
        <v>7</v>
      </c>
      <c r="AV14" s="36">
        <f>AW14+AX14</f>
        <v>0</v>
      </c>
      <c r="AW14" s="36">
        <f>G14*AO14</f>
        <v>0</v>
      </c>
      <c r="AX14" s="36">
        <f>G14*AP14</f>
        <v>0</v>
      </c>
      <c r="AY14" s="39" t="s">
        <v>692</v>
      </c>
      <c r="AZ14" s="39" t="s">
        <v>720</v>
      </c>
      <c r="BA14" s="34" t="s">
        <v>735</v>
      </c>
      <c r="BC14" s="36">
        <f>AW14+AX14</f>
        <v>0</v>
      </c>
      <c r="BD14" s="36">
        <f>H14/(100-BE14)*100</f>
        <v>0</v>
      </c>
      <c r="BE14" s="36">
        <v>0</v>
      </c>
      <c r="BF14" s="36">
        <f>O14</f>
        <v>7.8660000000000005</v>
      </c>
      <c r="BH14" s="24">
        <f>G14*AO14</f>
        <v>0</v>
      </c>
      <c r="BI14" s="24">
        <f>G14*AP14</f>
        <v>0</v>
      </c>
      <c r="BJ14" s="24">
        <f>G14*H14</f>
        <v>0</v>
      </c>
      <c r="BK14" s="24" t="s">
        <v>740</v>
      </c>
      <c r="BL14" s="36">
        <v>11</v>
      </c>
    </row>
    <row r="15" spans="1:16" ht="12.75">
      <c r="A15" s="100"/>
      <c r="B15" s="101"/>
      <c r="C15" s="92" t="s">
        <v>36</v>
      </c>
      <c r="E15" s="102" t="s">
        <v>567</v>
      </c>
      <c r="F15" s="101"/>
      <c r="G15" s="103">
        <v>30</v>
      </c>
      <c r="H15" s="101"/>
      <c r="I15" s="101"/>
      <c r="J15" s="101"/>
      <c r="K15" s="101"/>
      <c r="L15" s="101"/>
      <c r="M15" s="89"/>
      <c r="N15" s="104"/>
      <c r="O15" s="86"/>
      <c r="P15" s="85"/>
    </row>
    <row r="16" spans="1:16" ht="12.75">
      <c r="A16" s="100"/>
      <c r="B16" s="101"/>
      <c r="C16" s="92" t="s">
        <v>23</v>
      </c>
      <c r="E16" s="102" t="s">
        <v>568</v>
      </c>
      <c r="F16" s="101"/>
      <c r="G16" s="103">
        <v>17</v>
      </c>
      <c r="H16" s="101"/>
      <c r="I16" s="101"/>
      <c r="J16" s="101"/>
      <c r="K16" s="101"/>
      <c r="L16" s="101"/>
      <c r="M16" s="89"/>
      <c r="N16" s="104"/>
      <c r="O16" s="86"/>
      <c r="P16" s="85"/>
    </row>
    <row r="17" spans="1:16" ht="12.75">
      <c r="A17" s="100"/>
      <c r="B17" s="101"/>
      <c r="C17" s="92" t="s">
        <v>13</v>
      </c>
      <c r="E17" s="102" t="s">
        <v>569</v>
      </c>
      <c r="F17" s="101"/>
      <c r="G17" s="103">
        <v>7</v>
      </c>
      <c r="H17" s="101"/>
      <c r="I17" s="101"/>
      <c r="J17" s="101"/>
      <c r="K17" s="101"/>
      <c r="L17" s="101"/>
      <c r="M17" s="89"/>
      <c r="N17" s="104"/>
      <c r="O17" s="86"/>
      <c r="P17" s="85"/>
    </row>
    <row r="18" spans="1:16" ht="12.75">
      <c r="A18" s="100"/>
      <c r="B18" s="101"/>
      <c r="C18" s="92" t="s">
        <v>9</v>
      </c>
      <c r="E18" s="102" t="s">
        <v>570</v>
      </c>
      <c r="F18" s="101"/>
      <c r="G18" s="103">
        <v>3</v>
      </c>
      <c r="H18" s="101"/>
      <c r="I18" s="101"/>
      <c r="J18" s="101"/>
      <c r="K18" s="101"/>
      <c r="L18" s="101"/>
      <c r="M18" s="89"/>
      <c r="N18" s="104"/>
      <c r="O18" s="86"/>
      <c r="P18" s="85"/>
    </row>
    <row r="19" spans="1:64" ht="12.75">
      <c r="A19" s="88" t="s">
        <v>8</v>
      </c>
      <c r="B19" s="88" t="s">
        <v>141</v>
      </c>
      <c r="C19" s="156" t="s">
        <v>281</v>
      </c>
      <c r="D19" s="157"/>
      <c r="E19" s="158"/>
      <c r="F19" s="88" t="s">
        <v>653</v>
      </c>
      <c r="G19" s="96">
        <v>2</v>
      </c>
      <c r="H19" s="96">
        <v>0</v>
      </c>
      <c r="I19" s="96">
        <f>G19*AO19</f>
        <v>0</v>
      </c>
      <c r="J19" s="96">
        <f>G19*AP19</f>
        <v>0</v>
      </c>
      <c r="K19" s="96">
        <f>G19*H19</f>
        <v>0</v>
      </c>
      <c r="L19" s="96">
        <v>0</v>
      </c>
      <c r="M19" s="81">
        <v>0.586</v>
      </c>
      <c r="N19" s="98">
        <v>0.586</v>
      </c>
      <c r="O19" s="81">
        <f>G19*N19</f>
        <v>1.172</v>
      </c>
      <c r="P19" s="85"/>
      <c r="Z19" s="36">
        <f>IF(AQ19="5",BJ19,0)</f>
        <v>0</v>
      </c>
      <c r="AB19" s="36">
        <f>IF(AQ19="1",BH19,0)</f>
        <v>0</v>
      </c>
      <c r="AC19" s="36">
        <f>IF(AQ19="1",BI19,0)</f>
        <v>0</v>
      </c>
      <c r="AD19" s="36">
        <f>IF(AQ19="7",BH19,0)</f>
        <v>0</v>
      </c>
      <c r="AE19" s="36">
        <f>IF(AQ19="7",BI19,0)</f>
        <v>0</v>
      </c>
      <c r="AF19" s="36">
        <f>IF(AQ19="2",BH19,0)</f>
        <v>0</v>
      </c>
      <c r="AG19" s="36">
        <f>IF(AQ19="2",BI19,0)</f>
        <v>0</v>
      </c>
      <c r="AH19" s="36">
        <f>IF(AQ19="0",BJ19,0)</f>
        <v>0</v>
      </c>
      <c r="AI19" s="34" t="s">
        <v>691</v>
      </c>
      <c r="AJ19" s="24">
        <f>IF(AN19=0,K19,0)</f>
        <v>0</v>
      </c>
      <c r="AK19" s="24">
        <f>IF(AN19=15,K19,0)</f>
        <v>0</v>
      </c>
      <c r="AL19" s="24">
        <f>IF(AN19=21,K19,0)</f>
        <v>0</v>
      </c>
      <c r="AN19" s="36">
        <v>21</v>
      </c>
      <c r="AO19" s="36">
        <f>H19*0</f>
        <v>0</v>
      </c>
      <c r="AP19" s="36">
        <f>H19*(1-0)</f>
        <v>0</v>
      </c>
      <c r="AQ19" s="37" t="s">
        <v>7</v>
      </c>
      <c r="AV19" s="36">
        <f>AW19+AX19</f>
        <v>0</v>
      </c>
      <c r="AW19" s="36">
        <f>G19*AO19</f>
        <v>0</v>
      </c>
      <c r="AX19" s="36">
        <f>G19*AP19</f>
        <v>0</v>
      </c>
      <c r="AY19" s="39" t="s">
        <v>692</v>
      </c>
      <c r="AZ19" s="39" t="s">
        <v>720</v>
      </c>
      <c r="BA19" s="34" t="s">
        <v>735</v>
      </c>
      <c r="BC19" s="36">
        <f>AW19+AX19</f>
        <v>0</v>
      </c>
      <c r="BD19" s="36">
        <f>H19/(100-BE19)*100</f>
        <v>0</v>
      </c>
      <c r="BE19" s="36">
        <v>0</v>
      </c>
      <c r="BF19" s="36">
        <f>O19</f>
        <v>1.172</v>
      </c>
      <c r="BH19" s="24">
        <f>G19*AO19</f>
        <v>0</v>
      </c>
      <c r="BI19" s="24">
        <f>G19*AP19</f>
        <v>0</v>
      </c>
      <c r="BJ19" s="24">
        <f>G19*H19</f>
        <v>0</v>
      </c>
      <c r="BK19" s="24" t="s">
        <v>740</v>
      </c>
      <c r="BL19" s="36">
        <v>11</v>
      </c>
    </row>
    <row r="20" spans="1:16" ht="12.75">
      <c r="A20" s="100"/>
      <c r="B20" s="101"/>
      <c r="C20" s="92" t="s">
        <v>8</v>
      </c>
      <c r="E20" s="102"/>
      <c r="F20" s="101"/>
      <c r="G20" s="103">
        <v>2</v>
      </c>
      <c r="H20" s="101"/>
      <c r="I20" s="101"/>
      <c r="J20" s="101"/>
      <c r="K20" s="101"/>
      <c r="L20" s="101"/>
      <c r="M20" s="89"/>
      <c r="N20" s="104"/>
      <c r="O20" s="86"/>
      <c r="P20" s="85"/>
    </row>
    <row r="21" spans="1:64" ht="12.75">
      <c r="A21" s="88" t="s">
        <v>9</v>
      </c>
      <c r="B21" s="88" t="s">
        <v>142</v>
      </c>
      <c r="C21" s="156" t="s">
        <v>282</v>
      </c>
      <c r="D21" s="157"/>
      <c r="E21" s="158"/>
      <c r="F21" s="88" t="s">
        <v>653</v>
      </c>
      <c r="G21" s="96">
        <v>37</v>
      </c>
      <c r="H21" s="96">
        <v>0</v>
      </c>
      <c r="I21" s="96">
        <f>G21*AO21</f>
        <v>0</v>
      </c>
      <c r="J21" s="96">
        <f>G21*AP21</f>
        <v>0</v>
      </c>
      <c r="K21" s="96">
        <f>G21*H21</f>
        <v>0</v>
      </c>
      <c r="L21" s="96">
        <v>0</v>
      </c>
      <c r="M21" s="81">
        <v>0.2</v>
      </c>
      <c r="N21" s="98">
        <v>0.2</v>
      </c>
      <c r="O21" s="81">
        <f>G21*N21</f>
        <v>7.4</v>
      </c>
      <c r="P21" s="85"/>
      <c r="Z21" s="36">
        <f>IF(AQ21="5",BJ21,0)</f>
        <v>0</v>
      </c>
      <c r="AB21" s="36">
        <f>IF(AQ21="1",BH21,0)</f>
        <v>0</v>
      </c>
      <c r="AC21" s="36">
        <f>IF(AQ21="1",BI21,0)</f>
        <v>0</v>
      </c>
      <c r="AD21" s="36">
        <f>IF(AQ21="7",BH21,0)</f>
        <v>0</v>
      </c>
      <c r="AE21" s="36">
        <f>IF(AQ21="7",BI21,0)</f>
        <v>0</v>
      </c>
      <c r="AF21" s="36">
        <f>IF(AQ21="2",BH21,0)</f>
        <v>0</v>
      </c>
      <c r="AG21" s="36">
        <f>IF(AQ21="2",BI21,0)</f>
        <v>0</v>
      </c>
      <c r="AH21" s="36">
        <f>IF(AQ21="0",BJ21,0)</f>
        <v>0</v>
      </c>
      <c r="AI21" s="34" t="s">
        <v>691</v>
      </c>
      <c r="AJ21" s="24">
        <f>IF(AN21=0,K21,0)</f>
        <v>0</v>
      </c>
      <c r="AK21" s="24">
        <f>IF(AN21=15,K21,0)</f>
        <v>0</v>
      </c>
      <c r="AL21" s="24">
        <f>IF(AN21=21,K21,0)</f>
        <v>0</v>
      </c>
      <c r="AN21" s="36">
        <v>21</v>
      </c>
      <c r="AO21" s="36">
        <f>H21*0</f>
        <v>0</v>
      </c>
      <c r="AP21" s="36">
        <f>H21*(1-0)</f>
        <v>0</v>
      </c>
      <c r="AQ21" s="37" t="s">
        <v>7</v>
      </c>
      <c r="AV21" s="36">
        <f>AW21+AX21</f>
        <v>0</v>
      </c>
      <c r="AW21" s="36">
        <f>G21*AO21</f>
        <v>0</v>
      </c>
      <c r="AX21" s="36">
        <f>G21*AP21</f>
        <v>0</v>
      </c>
      <c r="AY21" s="39" t="s">
        <v>692</v>
      </c>
      <c r="AZ21" s="39" t="s">
        <v>720</v>
      </c>
      <c r="BA21" s="34" t="s">
        <v>735</v>
      </c>
      <c r="BC21" s="36">
        <f>AW21+AX21</f>
        <v>0</v>
      </c>
      <c r="BD21" s="36">
        <f>H21/(100-BE21)*100</f>
        <v>0</v>
      </c>
      <c r="BE21" s="36">
        <v>0</v>
      </c>
      <c r="BF21" s="36">
        <f>O21</f>
        <v>7.4</v>
      </c>
      <c r="BH21" s="24">
        <f>G21*AO21</f>
        <v>0</v>
      </c>
      <c r="BI21" s="24">
        <f>G21*AP21</f>
        <v>0</v>
      </c>
      <c r="BJ21" s="24">
        <f>G21*H21</f>
        <v>0</v>
      </c>
      <c r="BK21" s="24" t="s">
        <v>740</v>
      </c>
      <c r="BL21" s="36">
        <v>11</v>
      </c>
    </row>
    <row r="22" spans="1:16" ht="12.75">
      <c r="A22" s="100"/>
      <c r="B22" s="101"/>
      <c r="C22" s="92" t="s">
        <v>283</v>
      </c>
      <c r="E22" s="102" t="s">
        <v>571</v>
      </c>
      <c r="F22" s="101"/>
      <c r="G22" s="103">
        <v>37</v>
      </c>
      <c r="H22" s="101"/>
      <c r="I22" s="101"/>
      <c r="J22" s="101"/>
      <c r="K22" s="101"/>
      <c r="L22" s="101"/>
      <c r="M22" s="89"/>
      <c r="N22" s="104"/>
      <c r="O22" s="86"/>
      <c r="P22" s="85"/>
    </row>
    <row r="23" spans="1:64" ht="12.75">
      <c r="A23" s="88" t="s">
        <v>10</v>
      </c>
      <c r="B23" s="88" t="s">
        <v>143</v>
      </c>
      <c r="C23" s="156" t="s">
        <v>284</v>
      </c>
      <c r="D23" s="157"/>
      <c r="E23" s="158"/>
      <c r="F23" s="88" t="s">
        <v>653</v>
      </c>
      <c r="G23" s="96">
        <v>94</v>
      </c>
      <c r="H23" s="96">
        <v>0</v>
      </c>
      <c r="I23" s="96">
        <f>G23*AO23</f>
        <v>0</v>
      </c>
      <c r="J23" s="96">
        <f>G23*AP23</f>
        <v>0</v>
      </c>
      <c r="K23" s="96">
        <f>G23*H23</f>
        <v>0</v>
      </c>
      <c r="L23" s="96">
        <v>0</v>
      </c>
      <c r="M23" s="81">
        <v>0</v>
      </c>
      <c r="N23" s="98">
        <v>0</v>
      </c>
      <c r="O23" s="81">
        <f>G23*N23</f>
        <v>0</v>
      </c>
      <c r="P23" s="85"/>
      <c r="Z23" s="36">
        <f>IF(AQ23="5",BJ23,0)</f>
        <v>0</v>
      </c>
      <c r="AB23" s="36">
        <f>IF(AQ23="1",BH23,0)</f>
        <v>0</v>
      </c>
      <c r="AC23" s="36">
        <f>IF(AQ23="1",BI23,0)</f>
        <v>0</v>
      </c>
      <c r="AD23" s="36">
        <f>IF(AQ23="7",BH23,0)</f>
        <v>0</v>
      </c>
      <c r="AE23" s="36">
        <f>IF(AQ23="7",BI23,0)</f>
        <v>0</v>
      </c>
      <c r="AF23" s="36">
        <f>IF(AQ23="2",BH23,0)</f>
        <v>0</v>
      </c>
      <c r="AG23" s="36">
        <f>IF(AQ23="2",BI23,0)</f>
        <v>0</v>
      </c>
      <c r="AH23" s="36">
        <f>IF(AQ23="0",BJ23,0)</f>
        <v>0</v>
      </c>
      <c r="AI23" s="34" t="s">
        <v>691</v>
      </c>
      <c r="AJ23" s="24">
        <f>IF(AN23=0,K23,0)</f>
        <v>0</v>
      </c>
      <c r="AK23" s="24">
        <f>IF(AN23=15,K23,0)</f>
        <v>0</v>
      </c>
      <c r="AL23" s="24">
        <f>IF(AN23=21,K23,0)</f>
        <v>0</v>
      </c>
      <c r="AN23" s="36">
        <v>21</v>
      </c>
      <c r="AO23" s="36">
        <f>H23*0</f>
        <v>0</v>
      </c>
      <c r="AP23" s="36">
        <f>H23*(1-0)</f>
        <v>0</v>
      </c>
      <c r="AQ23" s="37" t="s">
        <v>7</v>
      </c>
      <c r="AV23" s="36">
        <f>AW23+AX23</f>
        <v>0</v>
      </c>
      <c r="AW23" s="36">
        <f>G23*AO23</f>
        <v>0</v>
      </c>
      <c r="AX23" s="36">
        <f>G23*AP23</f>
        <v>0</v>
      </c>
      <c r="AY23" s="39" t="s">
        <v>692</v>
      </c>
      <c r="AZ23" s="39" t="s">
        <v>720</v>
      </c>
      <c r="BA23" s="34" t="s">
        <v>735</v>
      </c>
      <c r="BC23" s="36">
        <f>AW23+AX23</f>
        <v>0</v>
      </c>
      <c r="BD23" s="36">
        <f>H23/(100-BE23)*100</f>
        <v>0</v>
      </c>
      <c r="BE23" s="36">
        <v>0</v>
      </c>
      <c r="BF23" s="36">
        <f>O23</f>
        <v>0</v>
      </c>
      <c r="BH23" s="24">
        <f>G23*AO23</f>
        <v>0</v>
      </c>
      <c r="BI23" s="24">
        <f>G23*AP23</f>
        <v>0</v>
      </c>
      <c r="BJ23" s="24">
        <f>G23*H23</f>
        <v>0</v>
      </c>
      <c r="BK23" s="24" t="s">
        <v>740</v>
      </c>
      <c r="BL23" s="36">
        <v>11</v>
      </c>
    </row>
    <row r="24" spans="1:64" ht="12.75">
      <c r="A24" s="88" t="s">
        <v>11</v>
      </c>
      <c r="B24" s="88" t="s">
        <v>144</v>
      </c>
      <c r="C24" s="156" t="s">
        <v>285</v>
      </c>
      <c r="D24" s="157"/>
      <c r="E24" s="158"/>
      <c r="F24" s="88" t="s">
        <v>654</v>
      </c>
      <c r="G24" s="96">
        <v>4.5</v>
      </c>
      <c r="H24" s="96">
        <v>0</v>
      </c>
      <c r="I24" s="96">
        <f>G24*AO24</f>
        <v>0</v>
      </c>
      <c r="J24" s="96">
        <f>G24*AP24</f>
        <v>0</v>
      </c>
      <c r="K24" s="96">
        <f>G24*H24</f>
        <v>0</v>
      </c>
      <c r="L24" s="96">
        <v>0</v>
      </c>
      <c r="M24" s="81">
        <v>0.22</v>
      </c>
      <c r="N24" s="98">
        <v>0.22</v>
      </c>
      <c r="O24" s="81">
        <f>G24*N24</f>
        <v>0.99</v>
      </c>
      <c r="P24" s="85"/>
      <c r="Z24" s="36">
        <f>IF(AQ24="5",BJ24,0)</f>
        <v>0</v>
      </c>
      <c r="AB24" s="36">
        <f>IF(AQ24="1",BH24,0)</f>
        <v>0</v>
      </c>
      <c r="AC24" s="36">
        <f>IF(AQ24="1",BI24,0)</f>
        <v>0</v>
      </c>
      <c r="AD24" s="36">
        <f>IF(AQ24="7",BH24,0)</f>
        <v>0</v>
      </c>
      <c r="AE24" s="36">
        <f>IF(AQ24="7",BI24,0)</f>
        <v>0</v>
      </c>
      <c r="AF24" s="36">
        <f>IF(AQ24="2",BH24,0)</f>
        <v>0</v>
      </c>
      <c r="AG24" s="36">
        <f>IF(AQ24="2",BI24,0)</f>
        <v>0</v>
      </c>
      <c r="AH24" s="36">
        <f>IF(AQ24="0",BJ24,0)</f>
        <v>0</v>
      </c>
      <c r="AI24" s="34" t="s">
        <v>691</v>
      </c>
      <c r="AJ24" s="24">
        <f>IF(AN24=0,K24,0)</f>
        <v>0</v>
      </c>
      <c r="AK24" s="24">
        <f>IF(AN24=15,K24,0)</f>
        <v>0</v>
      </c>
      <c r="AL24" s="24">
        <f>IF(AN24=21,K24,0)</f>
        <v>0</v>
      </c>
      <c r="AN24" s="36">
        <v>21</v>
      </c>
      <c r="AO24" s="36">
        <f>H24*0</f>
        <v>0</v>
      </c>
      <c r="AP24" s="36">
        <f>H24*(1-0)</f>
        <v>0</v>
      </c>
      <c r="AQ24" s="37" t="s">
        <v>7</v>
      </c>
      <c r="AV24" s="36">
        <f>AW24+AX24</f>
        <v>0</v>
      </c>
      <c r="AW24" s="36">
        <f>G24*AO24</f>
        <v>0</v>
      </c>
      <c r="AX24" s="36">
        <f>G24*AP24</f>
        <v>0</v>
      </c>
      <c r="AY24" s="39" t="s">
        <v>692</v>
      </c>
      <c r="AZ24" s="39" t="s">
        <v>720</v>
      </c>
      <c r="BA24" s="34" t="s">
        <v>735</v>
      </c>
      <c r="BC24" s="36">
        <f>AW24+AX24</f>
        <v>0</v>
      </c>
      <c r="BD24" s="36">
        <f>H24/(100-BE24)*100</f>
        <v>0</v>
      </c>
      <c r="BE24" s="36">
        <v>0</v>
      </c>
      <c r="BF24" s="36">
        <f>O24</f>
        <v>0.99</v>
      </c>
      <c r="BH24" s="24">
        <f>G24*AO24</f>
        <v>0</v>
      </c>
      <c r="BI24" s="24">
        <f>G24*AP24</f>
        <v>0</v>
      </c>
      <c r="BJ24" s="24">
        <f>G24*H24</f>
        <v>0</v>
      </c>
      <c r="BK24" s="24" t="s">
        <v>740</v>
      </c>
      <c r="BL24" s="36">
        <v>11</v>
      </c>
    </row>
    <row r="25" spans="1:16" ht="12.75">
      <c r="A25" s="91"/>
      <c r="B25" s="94"/>
      <c r="C25" s="93" t="s">
        <v>286</v>
      </c>
      <c r="E25" s="95" t="s">
        <v>572</v>
      </c>
      <c r="F25" s="94"/>
      <c r="G25" s="97">
        <v>4.5</v>
      </c>
      <c r="H25" s="94"/>
      <c r="I25" s="94"/>
      <c r="J25" s="94"/>
      <c r="K25" s="94"/>
      <c r="L25" s="94"/>
      <c r="M25" s="90"/>
      <c r="N25" s="99"/>
      <c r="O25" s="87"/>
      <c r="P25" s="85"/>
    </row>
    <row r="26" spans="1:47" ht="12.75">
      <c r="A26" s="4"/>
      <c r="B26" s="13" t="s">
        <v>19</v>
      </c>
      <c r="C26" s="160" t="s">
        <v>287</v>
      </c>
      <c r="D26" s="161"/>
      <c r="E26" s="161"/>
      <c r="F26" s="22" t="s">
        <v>6</v>
      </c>
      <c r="G26" s="22" t="s">
        <v>6</v>
      </c>
      <c r="H26" s="22" t="s">
        <v>6</v>
      </c>
      <c r="I26" s="43">
        <f>SUM(I27:I38)</f>
        <v>0</v>
      </c>
      <c r="J26" s="43">
        <f>SUM(J27:J38)</f>
        <v>0</v>
      </c>
      <c r="K26" s="43">
        <f>SUM(K27:K38)</f>
        <v>0</v>
      </c>
      <c r="L26" s="34"/>
      <c r="M26" s="34"/>
      <c r="N26" s="34"/>
      <c r="O26" s="46">
        <f>SUM(O27:O38)</f>
        <v>0</v>
      </c>
      <c r="P26" s="6"/>
      <c r="AI26" s="34" t="s">
        <v>691</v>
      </c>
      <c r="AS26" s="43">
        <f>SUM(AJ27:AJ38)</f>
        <v>0</v>
      </c>
      <c r="AT26" s="43">
        <f>SUM(AK27:AK38)</f>
        <v>0</v>
      </c>
      <c r="AU26" s="43">
        <f>SUM(AL27:AL38)</f>
        <v>0</v>
      </c>
    </row>
    <row r="27" spans="1:64" ht="12.75">
      <c r="A27" s="88" t="s">
        <v>12</v>
      </c>
      <c r="B27" s="88" t="s">
        <v>145</v>
      </c>
      <c r="C27" s="156" t="s">
        <v>288</v>
      </c>
      <c r="D27" s="157"/>
      <c r="E27" s="158"/>
      <c r="F27" s="88" t="s">
        <v>655</v>
      </c>
      <c r="G27" s="96">
        <v>90.075</v>
      </c>
      <c r="H27" s="96">
        <v>0</v>
      </c>
      <c r="I27" s="96">
        <f>G27*AO27</f>
        <v>0</v>
      </c>
      <c r="J27" s="96">
        <f>G27*AP27</f>
        <v>0</v>
      </c>
      <c r="K27" s="96">
        <f>G27*H27</f>
        <v>0</v>
      </c>
      <c r="L27" s="96">
        <v>0</v>
      </c>
      <c r="M27" s="81">
        <v>0</v>
      </c>
      <c r="N27" s="98">
        <v>0</v>
      </c>
      <c r="O27" s="81">
        <f>G27*N27</f>
        <v>0</v>
      </c>
      <c r="P27" s="85"/>
      <c r="Z27" s="36">
        <f>IF(AQ27="5",BJ27,0)</f>
        <v>0</v>
      </c>
      <c r="AB27" s="36">
        <f>IF(AQ27="1",BH27,0)</f>
        <v>0</v>
      </c>
      <c r="AC27" s="36">
        <f>IF(AQ27="1",BI27,0)</f>
        <v>0</v>
      </c>
      <c r="AD27" s="36">
        <f>IF(AQ27="7",BH27,0)</f>
        <v>0</v>
      </c>
      <c r="AE27" s="36">
        <f>IF(AQ27="7",BI27,0)</f>
        <v>0</v>
      </c>
      <c r="AF27" s="36">
        <f>IF(AQ27="2",BH27,0)</f>
        <v>0</v>
      </c>
      <c r="AG27" s="36">
        <f>IF(AQ27="2",BI27,0)</f>
        <v>0</v>
      </c>
      <c r="AH27" s="36">
        <f>IF(AQ27="0",BJ27,0)</f>
        <v>0</v>
      </c>
      <c r="AI27" s="34" t="s">
        <v>691</v>
      </c>
      <c r="AJ27" s="24">
        <f>IF(AN27=0,K27,0)</f>
        <v>0</v>
      </c>
      <c r="AK27" s="24">
        <f>IF(AN27=15,K27,0)</f>
        <v>0</v>
      </c>
      <c r="AL27" s="24">
        <f>IF(AN27=21,K27,0)</f>
        <v>0</v>
      </c>
      <c r="AN27" s="36">
        <v>21</v>
      </c>
      <c r="AO27" s="36">
        <f>H27*0</f>
        <v>0</v>
      </c>
      <c r="AP27" s="36">
        <f>H27*(1-0)</f>
        <v>0</v>
      </c>
      <c r="AQ27" s="37" t="s">
        <v>7</v>
      </c>
      <c r="AV27" s="36">
        <f>AW27+AX27</f>
        <v>0</v>
      </c>
      <c r="AW27" s="36">
        <f>G27*AO27</f>
        <v>0</v>
      </c>
      <c r="AX27" s="36">
        <f>G27*AP27</f>
        <v>0</v>
      </c>
      <c r="AY27" s="39" t="s">
        <v>693</v>
      </c>
      <c r="AZ27" s="39" t="s">
        <v>720</v>
      </c>
      <c r="BA27" s="34" t="s">
        <v>735</v>
      </c>
      <c r="BC27" s="36">
        <f>AW27+AX27</f>
        <v>0</v>
      </c>
      <c r="BD27" s="36">
        <f>H27/(100-BE27)*100</f>
        <v>0</v>
      </c>
      <c r="BE27" s="36">
        <v>0</v>
      </c>
      <c r="BF27" s="36">
        <f>O27</f>
        <v>0</v>
      </c>
      <c r="BH27" s="24">
        <f>G27*AO27</f>
        <v>0</v>
      </c>
      <c r="BI27" s="24">
        <f>G27*AP27</f>
        <v>0</v>
      </c>
      <c r="BJ27" s="24">
        <f>G27*H27</f>
        <v>0</v>
      </c>
      <c r="BK27" s="24" t="s">
        <v>740</v>
      </c>
      <c r="BL27" s="36">
        <v>13</v>
      </c>
    </row>
    <row r="28" spans="1:16" ht="12.75">
      <c r="A28" s="100"/>
      <c r="B28" s="101"/>
      <c r="C28" s="92" t="s">
        <v>289</v>
      </c>
      <c r="E28" s="102" t="s">
        <v>573</v>
      </c>
      <c r="F28" s="101"/>
      <c r="G28" s="103">
        <v>17.92</v>
      </c>
      <c r="H28" s="101"/>
      <c r="I28" s="101"/>
      <c r="J28" s="101"/>
      <c r="K28" s="101"/>
      <c r="L28" s="101"/>
      <c r="M28" s="89"/>
      <c r="N28" s="104"/>
      <c r="O28" s="86"/>
      <c r="P28" s="85"/>
    </row>
    <row r="29" spans="1:16" ht="12.75">
      <c r="A29" s="100"/>
      <c r="B29" s="101"/>
      <c r="C29" s="92" t="s">
        <v>290</v>
      </c>
      <c r="E29" s="102" t="s">
        <v>574</v>
      </c>
      <c r="F29" s="101"/>
      <c r="G29" s="103">
        <v>8</v>
      </c>
      <c r="H29" s="101"/>
      <c r="I29" s="101"/>
      <c r="J29" s="101"/>
      <c r="K29" s="101"/>
      <c r="L29" s="101"/>
      <c r="M29" s="89"/>
      <c r="N29" s="104"/>
      <c r="O29" s="86"/>
      <c r="P29" s="85"/>
    </row>
    <row r="30" spans="1:16" ht="12.75">
      <c r="A30" s="100"/>
      <c r="B30" s="101"/>
      <c r="C30" s="92" t="s">
        <v>291</v>
      </c>
      <c r="E30" s="102" t="s">
        <v>575</v>
      </c>
      <c r="F30" s="101"/>
      <c r="G30" s="103">
        <v>5.04</v>
      </c>
      <c r="H30" s="101"/>
      <c r="I30" s="101"/>
      <c r="J30" s="101"/>
      <c r="K30" s="101"/>
      <c r="L30" s="101"/>
      <c r="M30" s="89"/>
      <c r="N30" s="104"/>
      <c r="O30" s="86"/>
      <c r="P30" s="85"/>
    </row>
    <row r="31" spans="1:16" ht="12.75">
      <c r="A31" s="100"/>
      <c r="B31" s="101"/>
      <c r="C31" s="92" t="s">
        <v>292</v>
      </c>
      <c r="E31" s="102" t="s">
        <v>576</v>
      </c>
      <c r="F31" s="101"/>
      <c r="G31" s="103">
        <v>5.915</v>
      </c>
      <c r="H31" s="101"/>
      <c r="I31" s="101"/>
      <c r="J31" s="101"/>
      <c r="K31" s="101"/>
      <c r="L31" s="101"/>
      <c r="M31" s="89"/>
      <c r="N31" s="104"/>
      <c r="O31" s="86"/>
      <c r="P31" s="85"/>
    </row>
    <row r="32" spans="1:16" ht="12.75">
      <c r="A32" s="100"/>
      <c r="B32" s="101"/>
      <c r="C32" s="92" t="s">
        <v>293</v>
      </c>
      <c r="E32" s="102" t="s">
        <v>577</v>
      </c>
      <c r="F32" s="101"/>
      <c r="G32" s="103">
        <v>6</v>
      </c>
      <c r="H32" s="101"/>
      <c r="I32" s="101"/>
      <c r="J32" s="101"/>
      <c r="K32" s="101"/>
      <c r="L32" s="101"/>
      <c r="M32" s="89"/>
      <c r="N32" s="104"/>
      <c r="O32" s="86"/>
      <c r="P32" s="85"/>
    </row>
    <row r="33" spans="1:16" ht="12.75">
      <c r="A33" s="100"/>
      <c r="B33" s="101"/>
      <c r="C33" s="92" t="s">
        <v>294</v>
      </c>
      <c r="E33" s="102" t="s">
        <v>578</v>
      </c>
      <c r="F33" s="101"/>
      <c r="G33" s="103">
        <v>10.4</v>
      </c>
      <c r="H33" s="101"/>
      <c r="I33" s="101"/>
      <c r="J33" s="101"/>
      <c r="K33" s="101"/>
      <c r="L33" s="101"/>
      <c r="M33" s="89"/>
      <c r="N33" s="104"/>
      <c r="O33" s="86"/>
      <c r="P33" s="85"/>
    </row>
    <row r="34" spans="1:16" ht="12.75">
      <c r="A34" s="100"/>
      <c r="B34" s="101"/>
      <c r="C34" s="92" t="s">
        <v>295</v>
      </c>
      <c r="E34" s="102" t="s">
        <v>579</v>
      </c>
      <c r="F34" s="101"/>
      <c r="G34" s="103">
        <v>4.8</v>
      </c>
      <c r="H34" s="101"/>
      <c r="I34" s="101"/>
      <c r="J34" s="101"/>
      <c r="K34" s="101"/>
      <c r="L34" s="101"/>
      <c r="M34" s="89"/>
      <c r="N34" s="104"/>
      <c r="O34" s="86"/>
      <c r="P34" s="85"/>
    </row>
    <row r="35" spans="1:16" ht="12.75">
      <c r="A35" s="100"/>
      <c r="B35" s="101"/>
      <c r="C35" s="92" t="s">
        <v>296</v>
      </c>
      <c r="E35" s="102" t="s">
        <v>580</v>
      </c>
      <c r="F35" s="101"/>
      <c r="G35" s="103">
        <v>25.2</v>
      </c>
      <c r="H35" s="101"/>
      <c r="I35" s="101"/>
      <c r="J35" s="101"/>
      <c r="K35" s="101"/>
      <c r="L35" s="101"/>
      <c r="M35" s="89"/>
      <c r="N35" s="104"/>
      <c r="O35" s="86"/>
      <c r="P35" s="85"/>
    </row>
    <row r="36" spans="1:16" ht="12.75">
      <c r="A36" s="100"/>
      <c r="B36" s="101"/>
      <c r="C36" s="92" t="s">
        <v>297</v>
      </c>
      <c r="E36" s="102" t="s">
        <v>581</v>
      </c>
      <c r="F36" s="101"/>
      <c r="G36" s="103">
        <v>4.8</v>
      </c>
      <c r="H36" s="101"/>
      <c r="I36" s="101"/>
      <c r="J36" s="101"/>
      <c r="K36" s="101"/>
      <c r="L36" s="101"/>
      <c r="M36" s="89"/>
      <c r="N36" s="104"/>
      <c r="O36" s="86"/>
      <c r="P36" s="85"/>
    </row>
    <row r="37" spans="1:16" ht="12.75">
      <c r="A37" s="100"/>
      <c r="B37" s="101"/>
      <c r="C37" s="92" t="s">
        <v>298</v>
      </c>
      <c r="E37" s="102" t="s">
        <v>582</v>
      </c>
      <c r="F37" s="101"/>
      <c r="G37" s="103">
        <v>2</v>
      </c>
      <c r="H37" s="101"/>
      <c r="I37" s="101"/>
      <c r="J37" s="101"/>
      <c r="K37" s="101"/>
      <c r="L37" s="101"/>
      <c r="M37" s="89"/>
      <c r="N37" s="104"/>
      <c r="O37" s="86"/>
      <c r="P37" s="85"/>
    </row>
    <row r="38" spans="1:64" ht="12.75">
      <c r="A38" s="88" t="s">
        <v>13</v>
      </c>
      <c r="B38" s="88" t="s">
        <v>146</v>
      </c>
      <c r="C38" s="156" t="s">
        <v>299</v>
      </c>
      <c r="D38" s="157"/>
      <c r="E38" s="158"/>
      <c r="F38" s="88" t="s">
        <v>655</v>
      </c>
      <c r="G38" s="96">
        <v>0.375</v>
      </c>
      <c r="H38" s="96">
        <v>0</v>
      </c>
      <c r="I38" s="96">
        <f>G38*AO38</f>
        <v>0</v>
      </c>
      <c r="J38" s="96">
        <f>G38*AP38</f>
        <v>0</v>
      </c>
      <c r="K38" s="96">
        <f>G38*H38</f>
        <v>0</v>
      </c>
      <c r="L38" s="96">
        <v>0</v>
      </c>
      <c r="M38" s="81">
        <v>0</v>
      </c>
      <c r="N38" s="98">
        <v>0</v>
      </c>
      <c r="O38" s="81">
        <f>G38*N38</f>
        <v>0</v>
      </c>
      <c r="P38" s="85"/>
      <c r="Z38" s="36">
        <f>IF(AQ38="5",BJ38,0)</f>
        <v>0</v>
      </c>
      <c r="AB38" s="36">
        <f>IF(AQ38="1",BH38,0)</f>
        <v>0</v>
      </c>
      <c r="AC38" s="36">
        <f>IF(AQ38="1",BI38,0)</f>
        <v>0</v>
      </c>
      <c r="AD38" s="36">
        <f>IF(AQ38="7",BH38,0)</f>
        <v>0</v>
      </c>
      <c r="AE38" s="36">
        <f>IF(AQ38="7",BI38,0)</f>
        <v>0</v>
      </c>
      <c r="AF38" s="36">
        <f>IF(AQ38="2",BH38,0)</f>
        <v>0</v>
      </c>
      <c r="AG38" s="36">
        <f>IF(AQ38="2",BI38,0)</f>
        <v>0</v>
      </c>
      <c r="AH38" s="36">
        <f>IF(AQ38="0",BJ38,0)</f>
        <v>0</v>
      </c>
      <c r="AI38" s="34" t="s">
        <v>691</v>
      </c>
      <c r="AJ38" s="24">
        <f>IF(AN38=0,K38,0)</f>
        <v>0</v>
      </c>
      <c r="AK38" s="24">
        <f>IF(AN38=15,K38,0)</f>
        <v>0</v>
      </c>
      <c r="AL38" s="24">
        <f>IF(AN38=21,K38,0)</f>
        <v>0</v>
      </c>
      <c r="AN38" s="36">
        <v>21</v>
      </c>
      <c r="AO38" s="36">
        <f>H38*0</f>
        <v>0</v>
      </c>
      <c r="AP38" s="36">
        <f>H38*(1-0)</f>
        <v>0</v>
      </c>
      <c r="AQ38" s="37" t="s">
        <v>7</v>
      </c>
      <c r="AV38" s="36">
        <f>AW38+AX38</f>
        <v>0</v>
      </c>
      <c r="AW38" s="36">
        <f>G38*AO38</f>
        <v>0</v>
      </c>
      <c r="AX38" s="36">
        <f>G38*AP38</f>
        <v>0</v>
      </c>
      <c r="AY38" s="39" t="s">
        <v>693</v>
      </c>
      <c r="AZ38" s="39" t="s">
        <v>720</v>
      </c>
      <c r="BA38" s="34" t="s">
        <v>735</v>
      </c>
      <c r="BC38" s="36">
        <f>AW38+AX38</f>
        <v>0</v>
      </c>
      <c r="BD38" s="36">
        <f>H38/(100-BE38)*100</f>
        <v>0</v>
      </c>
      <c r="BE38" s="36">
        <v>0</v>
      </c>
      <c r="BF38" s="36">
        <f>O38</f>
        <v>0</v>
      </c>
      <c r="BH38" s="24">
        <f>G38*AO38</f>
        <v>0</v>
      </c>
      <c r="BI38" s="24">
        <f>G38*AP38</f>
        <v>0</v>
      </c>
      <c r="BJ38" s="24">
        <f>G38*H38</f>
        <v>0</v>
      </c>
      <c r="BK38" s="24" t="s">
        <v>740</v>
      </c>
      <c r="BL38" s="36">
        <v>13</v>
      </c>
    </row>
    <row r="39" spans="1:16" ht="12.75">
      <c r="A39" s="100"/>
      <c r="B39" s="101"/>
      <c r="C39" s="92" t="s">
        <v>300</v>
      </c>
      <c r="E39" s="102" t="s">
        <v>583</v>
      </c>
      <c r="F39" s="101"/>
      <c r="G39" s="103">
        <v>0.125</v>
      </c>
      <c r="H39" s="101"/>
      <c r="I39" s="101"/>
      <c r="J39" s="101"/>
      <c r="K39" s="101"/>
      <c r="L39" s="101"/>
      <c r="M39" s="89"/>
      <c r="N39" s="104"/>
      <c r="O39" s="86"/>
      <c r="P39" s="85"/>
    </row>
    <row r="40" spans="1:16" ht="12.75">
      <c r="A40" s="100"/>
      <c r="B40" s="101"/>
      <c r="C40" s="92" t="s">
        <v>300</v>
      </c>
      <c r="E40" s="102" t="s">
        <v>584</v>
      </c>
      <c r="F40" s="101"/>
      <c r="G40" s="103">
        <v>0.125</v>
      </c>
      <c r="H40" s="101"/>
      <c r="I40" s="101"/>
      <c r="J40" s="101"/>
      <c r="K40" s="101"/>
      <c r="L40" s="101"/>
      <c r="M40" s="89"/>
      <c r="N40" s="104"/>
      <c r="O40" s="86"/>
      <c r="P40" s="85"/>
    </row>
    <row r="41" spans="1:16" ht="12.75">
      <c r="A41" s="91"/>
      <c r="B41" s="94"/>
      <c r="C41" s="93" t="s">
        <v>300</v>
      </c>
      <c r="E41" s="95" t="s">
        <v>585</v>
      </c>
      <c r="F41" s="94"/>
      <c r="G41" s="97">
        <v>0.125</v>
      </c>
      <c r="H41" s="94"/>
      <c r="I41" s="94"/>
      <c r="J41" s="94"/>
      <c r="K41" s="94"/>
      <c r="L41" s="94"/>
      <c r="M41" s="90"/>
      <c r="N41" s="99"/>
      <c r="O41" s="87"/>
      <c r="P41" s="85"/>
    </row>
    <row r="42" spans="1:47" ht="12.75">
      <c r="A42" s="4"/>
      <c r="B42" s="13" t="s">
        <v>22</v>
      </c>
      <c r="C42" s="160" t="s">
        <v>301</v>
      </c>
      <c r="D42" s="161"/>
      <c r="E42" s="161"/>
      <c r="F42" s="22" t="s">
        <v>6</v>
      </c>
      <c r="G42" s="22" t="s">
        <v>6</v>
      </c>
      <c r="H42" s="22" t="s">
        <v>6</v>
      </c>
      <c r="I42" s="43">
        <f>SUM(I43:I62)</f>
        <v>0</v>
      </c>
      <c r="J42" s="43">
        <f>SUM(J43:J62)</f>
        <v>0</v>
      </c>
      <c r="K42" s="43">
        <f>SUM(K43:K62)</f>
        <v>0</v>
      </c>
      <c r="L42" s="34"/>
      <c r="M42" s="34"/>
      <c r="N42" s="34"/>
      <c r="O42" s="46">
        <f>SUM(O43:O62)</f>
        <v>0</v>
      </c>
      <c r="P42" s="6"/>
      <c r="AI42" s="34" t="s">
        <v>691</v>
      </c>
      <c r="AS42" s="43">
        <f>SUM(AJ43:AJ62)</f>
        <v>0</v>
      </c>
      <c r="AT42" s="43">
        <f>SUM(AK43:AK62)</f>
        <v>0</v>
      </c>
      <c r="AU42" s="43">
        <f>SUM(AL43:AL62)</f>
        <v>0</v>
      </c>
    </row>
    <row r="43" spans="1:64" ht="12.75">
      <c r="A43" s="88" t="s">
        <v>14</v>
      </c>
      <c r="B43" s="88" t="s">
        <v>147</v>
      </c>
      <c r="C43" s="156" t="s">
        <v>302</v>
      </c>
      <c r="D43" s="157"/>
      <c r="E43" s="158"/>
      <c r="F43" s="88" t="s">
        <v>655</v>
      </c>
      <c r="G43" s="96">
        <v>5.84</v>
      </c>
      <c r="H43" s="96">
        <v>0</v>
      </c>
      <c r="I43" s="96">
        <f>G43*AO43</f>
        <v>0</v>
      </c>
      <c r="J43" s="96">
        <f>G43*AP43</f>
        <v>0</v>
      </c>
      <c r="K43" s="96">
        <f>G43*H43</f>
        <v>0</v>
      </c>
      <c r="L43" s="96">
        <v>0</v>
      </c>
      <c r="M43" s="81">
        <v>0</v>
      </c>
      <c r="N43" s="98">
        <v>0</v>
      </c>
      <c r="O43" s="81">
        <f>G43*N43</f>
        <v>0</v>
      </c>
      <c r="P43" s="85"/>
      <c r="Z43" s="36">
        <f>IF(AQ43="5",BJ43,0)</f>
        <v>0</v>
      </c>
      <c r="AB43" s="36">
        <f>IF(AQ43="1",BH43,0)</f>
        <v>0</v>
      </c>
      <c r="AC43" s="36">
        <f>IF(AQ43="1",BI43,0)</f>
        <v>0</v>
      </c>
      <c r="AD43" s="36">
        <f>IF(AQ43="7",BH43,0)</f>
        <v>0</v>
      </c>
      <c r="AE43" s="36">
        <f>IF(AQ43="7",BI43,0)</f>
        <v>0</v>
      </c>
      <c r="AF43" s="36">
        <f>IF(AQ43="2",BH43,0)</f>
        <v>0</v>
      </c>
      <c r="AG43" s="36">
        <f>IF(AQ43="2",BI43,0)</f>
        <v>0</v>
      </c>
      <c r="AH43" s="36">
        <f>IF(AQ43="0",BJ43,0)</f>
        <v>0</v>
      </c>
      <c r="AI43" s="34" t="s">
        <v>691</v>
      </c>
      <c r="AJ43" s="24">
        <f>IF(AN43=0,K43,0)</f>
        <v>0</v>
      </c>
      <c r="AK43" s="24">
        <f>IF(AN43=15,K43,0)</f>
        <v>0</v>
      </c>
      <c r="AL43" s="24">
        <f>IF(AN43=21,K43,0)</f>
        <v>0</v>
      </c>
      <c r="AN43" s="36">
        <v>21</v>
      </c>
      <c r="AO43" s="36">
        <f>H43*0</f>
        <v>0</v>
      </c>
      <c r="AP43" s="36">
        <f>H43*(1-0)</f>
        <v>0</v>
      </c>
      <c r="AQ43" s="37" t="s">
        <v>7</v>
      </c>
      <c r="AV43" s="36">
        <f>AW43+AX43</f>
        <v>0</v>
      </c>
      <c r="AW43" s="36">
        <f>G43*AO43</f>
        <v>0</v>
      </c>
      <c r="AX43" s="36">
        <f>G43*AP43</f>
        <v>0</v>
      </c>
      <c r="AY43" s="39" t="s">
        <v>694</v>
      </c>
      <c r="AZ43" s="39" t="s">
        <v>720</v>
      </c>
      <c r="BA43" s="34" t="s">
        <v>735</v>
      </c>
      <c r="BC43" s="36">
        <f>AW43+AX43</f>
        <v>0</v>
      </c>
      <c r="BD43" s="36">
        <f>H43/(100-BE43)*100</f>
        <v>0</v>
      </c>
      <c r="BE43" s="36">
        <v>0</v>
      </c>
      <c r="BF43" s="36">
        <f>O43</f>
        <v>0</v>
      </c>
      <c r="BH43" s="24">
        <f>G43*AO43</f>
        <v>0</v>
      </c>
      <c r="BI43" s="24">
        <f>G43*AP43</f>
        <v>0</v>
      </c>
      <c r="BJ43" s="24">
        <f>G43*H43</f>
        <v>0</v>
      </c>
      <c r="BK43" s="24" t="s">
        <v>740</v>
      </c>
      <c r="BL43" s="36">
        <v>16</v>
      </c>
    </row>
    <row r="44" spans="1:16" ht="12.75">
      <c r="A44" s="100"/>
      <c r="B44" s="101"/>
      <c r="C44" s="92" t="s">
        <v>303</v>
      </c>
      <c r="E44" s="102" t="s">
        <v>575</v>
      </c>
      <c r="F44" s="101"/>
      <c r="G44" s="103">
        <v>0.84</v>
      </c>
      <c r="H44" s="101"/>
      <c r="I44" s="101"/>
      <c r="J44" s="101"/>
      <c r="K44" s="101"/>
      <c r="L44" s="101"/>
      <c r="M44" s="89"/>
      <c r="N44" s="104"/>
      <c r="O44" s="86"/>
      <c r="P44" s="85"/>
    </row>
    <row r="45" spans="1:16" ht="12.75">
      <c r="A45" s="100"/>
      <c r="B45" s="101"/>
      <c r="C45" s="92" t="s">
        <v>304</v>
      </c>
      <c r="E45" s="102" t="s">
        <v>580</v>
      </c>
      <c r="F45" s="101"/>
      <c r="G45" s="103">
        <v>4.2</v>
      </c>
      <c r="H45" s="101"/>
      <c r="I45" s="101"/>
      <c r="J45" s="101"/>
      <c r="K45" s="101"/>
      <c r="L45" s="101"/>
      <c r="M45" s="89"/>
      <c r="N45" s="104"/>
      <c r="O45" s="86"/>
      <c r="P45" s="85"/>
    </row>
    <row r="46" spans="1:16" ht="12.75">
      <c r="A46" s="100"/>
      <c r="B46" s="101"/>
      <c r="C46" s="92" t="s">
        <v>305</v>
      </c>
      <c r="E46" s="102" t="s">
        <v>581</v>
      </c>
      <c r="F46" s="101"/>
      <c r="G46" s="103">
        <v>0.8</v>
      </c>
      <c r="H46" s="101"/>
      <c r="I46" s="101"/>
      <c r="J46" s="101"/>
      <c r="K46" s="101"/>
      <c r="L46" s="101"/>
      <c r="M46" s="89"/>
      <c r="N46" s="104"/>
      <c r="O46" s="86"/>
      <c r="P46" s="85"/>
    </row>
    <row r="47" spans="1:64" ht="12.75">
      <c r="A47" s="88" t="s">
        <v>15</v>
      </c>
      <c r="B47" s="88" t="s">
        <v>148</v>
      </c>
      <c r="C47" s="156" t="s">
        <v>306</v>
      </c>
      <c r="D47" s="157"/>
      <c r="E47" s="158"/>
      <c r="F47" s="88" t="s">
        <v>655</v>
      </c>
      <c r="G47" s="96">
        <v>5.915</v>
      </c>
      <c r="H47" s="96">
        <v>0</v>
      </c>
      <c r="I47" s="96">
        <f>G47*AO47</f>
        <v>0</v>
      </c>
      <c r="J47" s="96">
        <f>G47*AP47</f>
        <v>0</v>
      </c>
      <c r="K47" s="96">
        <f>G47*H47</f>
        <v>0</v>
      </c>
      <c r="L47" s="96">
        <v>0</v>
      </c>
      <c r="M47" s="81">
        <v>0</v>
      </c>
      <c r="N47" s="98">
        <v>0</v>
      </c>
      <c r="O47" s="81">
        <f>G47*N47</f>
        <v>0</v>
      </c>
      <c r="P47" s="85"/>
      <c r="Z47" s="36">
        <f>IF(AQ47="5",BJ47,0)</f>
        <v>0</v>
      </c>
      <c r="AB47" s="36">
        <f>IF(AQ47="1",BH47,0)</f>
        <v>0</v>
      </c>
      <c r="AC47" s="36">
        <f>IF(AQ47="1",BI47,0)</f>
        <v>0</v>
      </c>
      <c r="AD47" s="36">
        <f>IF(AQ47="7",BH47,0)</f>
        <v>0</v>
      </c>
      <c r="AE47" s="36">
        <f>IF(AQ47="7",BI47,0)</f>
        <v>0</v>
      </c>
      <c r="AF47" s="36">
        <f>IF(AQ47="2",BH47,0)</f>
        <v>0</v>
      </c>
      <c r="AG47" s="36">
        <f>IF(AQ47="2",BI47,0)</f>
        <v>0</v>
      </c>
      <c r="AH47" s="36">
        <f>IF(AQ47="0",BJ47,0)</f>
        <v>0</v>
      </c>
      <c r="AI47" s="34" t="s">
        <v>691</v>
      </c>
      <c r="AJ47" s="24">
        <f>IF(AN47=0,K47,0)</f>
        <v>0</v>
      </c>
      <c r="AK47" s="24">
        <f>IF(AN47=15,K47,0)</f>
        <v>0</v>
      </c>
      <c r="AL47" s="24">
        <f>IF(AN47=21,K47,0)</f>
        <v>0</v>
      </c>
      <c r="AN47" s="36">
        <v>21</v>
      </c>
      <c r="AO47" s="36">
        <f>H47*0</f>
        <v>0</v>
      </c>
      <c r="AP47" s="36">
        <f>H47*(1-0)</f>
        <v>0</v>
      </c>
      <c r="AQ47" s="37" t="s">
        <v>7</v>
      </c>
      <c r="AV47" s="36">
        <f>AW47+AX47</f>
        <v>0</v>
      </c>
      <c r="AW47" s="36">
        <f>G47*AO47</f>
        <v>0</v>
      </c>
      <c r="AX47" s="36">
        <f>G47*AP47</f>
        <v>0</v>
      </c>
      <c r="AY47" s="39" t="s">
        <v>694</v>
      </c>
      <c r="AZ47" s="39" t="s">
        <v>720</v>
      </c>
      <c r="BA47" s="34" t="s">
        <v>735</v>
      </c>
      <c r="BC47" s="36">
        <f>AW47+AX47</f>
        <v>0</v>
      </c>
      <c r="BD47" s="36">
        <f>H47/(100-BE47)*100</f>
        <v>0</v>
      </c>
      <c r="BE47" s="36">
        <v>0</v>
      </c>
      <c r="BF47" s="36">
        <f>O47</f>
        <v>0</v>
      </c>
      <c r="BH47" s="24">
        <f>G47*AO47</f>
        <v>0</v>
      </c>
      <c r="BI47" s="24">
        <f>G47*AP47</f>
        <v>0</v>
      </c>
      <c r="BJ47" s="24">
        <f>G47*H47</f>
        <v>0</v>
      </c>
      <c r="BK47" s="24" t="s">
        <v>740</v>
      </c>
      <c r="BL47" s="36">
        <v>16</v>
      </c>
    </row>
    <row r="48" spans="1:16" ht="12.75">
      <c r="A48" s="100"/>
      <c r="B48" s="101"/>
      <c r="C48" s="92" t="s">
        <v>292</v>
      </c>
      <c r="E48" s="102" t="s">
        <v>586</v>
      </c>
      <c r="F48" s="101"/>
      <c r="G48" s="103">
        <v>5.915</v>
      </c>
      <c r="H48" s="101"/>
      <c r="I48" s="101"/>
      <c r="J48" s="101"/>
      <c r="K48" s="101"/>
      <c r="L48" s="101"/>
      <c r="M48" s="89"/>
      <c r="N48" s="104"/>
      <c r="O48" s="86"/>
      <c r="P48" s="85"/>
    </row>
    <row r="49" spans="1:64" ht="12.75">
      <c r="A49" s="88" t="s">
        <v>16</v>
      </c>
      <c r="B49" s="88" t="s">
        <v>149</v>
      </c>
      <c r="C49" s="156" t="s">
        <v>307</v>
      </c>
      <c r="D49" s="157"/>
      <c r="E49" s="158"/>
      <c r="F49" s="88" t="s">
        <v>655</v>
      </c>
      <c r="G49" s="96">
        <v>84.16</v>
      </c>
      <c r="H49" s="96">
        <v>0</v>
      </c>
      <c r="I49" s="96">
        <f>G49*AO49</f>
        <v>0</v>
      </c>
      <c r="J49" s="96">
        <f>G49*AP49</f>
        <v>0</v>
      </c>
      <c r="K49" s="96">
        <f>G49*H49</f>
        <v>0</v>
      </c>
      <c r="L49" s="96">
        <v>0</v>
      </c>
      <c r="M49" s="81">
        <v>0</v>
      </c>
      <c r="N49" s="98">
        <v>0</v>
      </c>
      <c r="O49" s="81">
        <f>G49*N49</f>
        <v>0</v>
      </c>
      <c r="P49" s="85"/>
      <c r="Z49" s="36">
        <f>IF(AQ49="5",BJ49,0)</f>
        <v>0</v>
      </c>
      <c r="AB49" s="36">
        <f>IF(AQ49="1",BH49,0)</f>
        <v>0</v>
      </c>
      <c r="AC49" s="36">
        <f>IF(AQ49="1",BI49,0)</f>
        <v>0</v>
      </c>
      <c r="AD49" s="36">
        <f>IF(AQ49="7",BH49,0)</f>
        <v>0</v>
      </c>
      <c r="AE49" s="36">
        <f>IF(AQ49="7",BI49,0)</f>
        <v>0</v>
      </c>
      <c r="AF49" s="36">
        <f>IF(AQ49="2",BH49,0)</f>
        <v>0</v>
      </c>
      <c r="AG49" s="36">
        <f>IF(AQ49="2",BI49,0)</f>
        <v>0</v>
      </c>
      <c r="AH49" s="36">
        <f>IF(AQ49="0",BJ49,0)</f>
        <v>0</v>
      </c>
      <c r="AI49" s="34" t="s">
        <v>691</v>
      </c>
      <c r="AJ49" s="24">
        <f>IF(AN49=0,K49,0)</f>
        <v>0</v>
      </c>
      <c r="AK49" s="24">
        <f>IF(AN49=15,K49,0)</f>
        <v>0</v>
      </c>
      <c r="AL49" s="24">
        <f>IF(AN49=21,K49,0)</f>
        <v>0</v>
      </c>
      <c r="AN49" s="36">
        <v>21</v>
      </c>
      <c r="AO49" s="36">
        <f>H49*0</f>
        <v>0</v>
      </c>
      <c r="AP49" s="36">
        <f>H49*(1-0)</f>
        <v>0</v>
      </c>
      <c r="AQ49" s="37" t="s">
        <v>7</v>
      </c>
      <c r="AV49" s="36">
        <f>AW49+AX49</f>
        <v>0</v>
      </c>
      <c r="AW49" s="36">
        <f>G49*AO49</f>
        <v>0</v>
      </c>
      <c r="AX49" s="36">
        <f>G49*AP49</f>
        <v>0</v>
      </c>
      <c r="AY49" s="39" t="s">
        <v>694</v>
      </c>
      <c r="AZ49" s="39" t="s">
        <v>720</v>
      </c>
      <c r="BA49" s="34" t="s">
        <v>735</v>
      </c>
      <c r="BC49" s="36">
        <f>AW49+AX49</f>
        <v>0</v>
      </c>
      <c r="BD49" s="36">
        <f>H49/(100-BE49)*100</f>
        <v>0</v>
      </c>
      <c r="BE49" s="36">
        <v>0</v>
      </c>
      <c r="BF49" s="36">
        <f>O49</f>
        <v>0</v>
      </c>
      <c r="BH49" s="24">
        <f>G49*AO49</f>
        <v>0</v>
      </c>
      <c r="BI49" s="24">
        <f>G49*AP49</f>
        <v>0</v>
      </c>
      <c r="BJ49" s="24">
        <f>G49*H49</f>
        <v>0</v>
      </c>
      <c r="BK49" s="24" t="s">
        <v>740</v>
      </c>
      <c r="BL49" s="36">
        <v>16</v>
      </c>
    </row>
    <row r="50" spans="1:16" ht="12.75">
      <c r="A50" s="100"/>
      <c r="B50" s="101"/>
      <c r="C50" s="92" t="s">
        <v>289</v>
      </c>
      <c r="E50" s="102" t="s">
        <v>573</v>
      </c>
      <c r="F50" s="101"/>
      <c r="G50" s="103">
        <v>17.92</v>
      </c>
      <c r="H50" s="101"/>
      <c r="I50" s="101"/>
      <c r="J50" s="101"/>
      <c r="K50" s="101"/>
      <c r="L50" s="101"/>
      <c r="M50" s="89"/>
      <c r="N50" s="104"/>
      <c r="O50" s="86"/>
      <c r="P50" s="85"/>
    </row>
    <row r="51" spans="1:16" ht="12.75">
      <c r="A51" s="100"/>
      <c r="B51" s="101"/>
      <c r="C51" s="92" t="s">
        <v>290</v>
      </c>
      <c r="E51" s="102" t="s">
        <v>574</v>
      </c>
      <c r="F51" s="101"/>
      <c r="G51" s="103">
        <v>8</v>
      </c>
      <c r="H51" s="101"/>
      <c r="I51" s="101"/>
      <c r="J51" s="101"/>
      <c r="K51" s="101"/>
      <c r="L51" s="101"/>
      <c r="M51" s="89"/>
      <c r="N51" s="104"/>
      <c r="O51" s="86"/>
      <c r="P51" s="85"/>
    </row>
    <row r="52" spans="1:16" ht="12.75">
      <c r="A52" s="100"/>
      <c r="B52" s="101"/>
      <c r="C52" s="92" t="s">
        <v>291</v>
      </c>
      <c r="E52" s="102" t="s">
        <v>575</v>
      </c>
      <c r="F52" s="101"/>
      <c r="G52" s="103">
        <v>5.04</v>
      </c>
      <c r="H52" s="101"/>
      <c r="I52" s="101"/>
      <c r="J52" s="101"/>
      <c r="K52" s="101"/>
      <c r="L52" s="101"/>
      <c r="M52" s="89"/>
      <c r="N52" s="104"/>
      <c r="O52" s="86"/>
      <c r="P52" s="85"/>
    </row>
    <row r="53" spans="1:16" ht="12.75">
      <c r="A53" s="100"/>
      <c r="B53" s="101"/>
      <c r="C53" s="92" t="s">
        <v>293</v>
      </c>
      <c r="E53" s="102" t="s">
        <v>577</v>
      </c>
      <c r="F53" s="101"/>
      <c r="G53" s="103">
        <v>6</v>
      </c>
      <c r="H53" s="101"/>
      <c r="I53" s="101"/>
      <c r="J53" s="101"/>
      <c r="K53" s="101"/>
      <c r="L53" s="101"/>
      <c r="M53" s="89"/>
      <c r="N53" s="104"/>
      <c r="O53" s="86"/>
      <c r="P53" s="85"/>
    </row>
    <row r="54" spans="1:16" ht="12.75">
      <c r="A54" s="100"/>
      <c r="B54" s="101"/>
      <c r="C54" s="92" t="s">
        <v>294</v>
      </c>
      <c r="E54" s="102" t="s">
        <v>578</v>
      </c>
      <c r="F54" s="101"/>
      <c r="G54" s="103">
        <v>10.4</v>
      </c>
      <c r="H54" s="101"/>
      <c r="I54" s="101"/>
      <c r="J54" s="101"/>
      <c r="K54" s="101"/>
      <c r="L54" s="101"/>
      <c r="M54" s="89"/>
      <c r="N54" s="104"/>
      <c r="O54" s="86"/>
      <c r="P54" s="85"/>
    </row>
    <row r="55" spans="1:16" ht="12.75">
      <c r="A55" s="100"/>
      <c r="B55" s="101"/>
      <c r="C55" s="92" t="s">
        <v>295</v>
      </c>
      <c r="E55" s="102" t="s">
        <v>579</v>
      </c>
      <c r="F55" s="101"/>
      <c r="G55" s="103">
        <v>4.8</v>
      </c>
      <c r="H55" s="101"/>
      <c r="I55" s="101"/>
      <c r="J55" s="101"/>
      <c r="K55" s="101"/>
      <c r="L55" s="101"/>
      <c r="M55" s="89"/>
      <c r="N55" s="104"/>
      <c r="O55" s="86"/>
      <c r="P55" s="85"/>
    </row>
    <row r="56" spans="1:16" ht="12.75">
      <c r="A56" s="100"/>
      <c r="B56" s="101"/>
      <c r="C56" s="92" t="s">
        <v>296</v>
      </c>
      <c r="E56" s="102" t="s">
        <v>580</v>
      </c>
      <c r="F56" s="101"/>
      <c r="G56" s="103">
        <v>25.2</v>
      </c>
      <c r="H56" s="101"/>
      <c r="I56" s="101"/>
      <c r="J56" s="101"/>
      <c r="K56" s="101"/>
      <c r="L56" s="101"/>
      <c r="M56" s="89"/>
      <c r="N56" s="104"/>
      <c r="O56" s="86"/>
      <c r="P56" s="85"/>
    </row>
    <row r="57" spans="1:16" ht="12.75">
      <c r="A57" s="100"/>
      <c r="B57" s="101"/>
      <c r="C57" s="92" t="s">
        <v>297</v>
      </c>
      <c r="E57" s="102" t="s">
        <v>581</v>
      </c>
      <c r="F57" s="101"/>
      <c r="G57" s="103">
        <v>4.8</v>
      </c>
      <c r="H57" s="101"/>
      <c r="I57" s="101"/>
      <c r="J57" s="101"/>
      <c r="K57" s="101"/>
      <c r="L57" s="101"/>
      <c r="M57" s="89"/>
      <c r="N57" s="104"/>
      <c r="O57" s="86"/>
      <c r="P57" s="85"/>
    </row>
    <row r="58" spans="1:16" ht="12.75">
      <c r="A58" s="100"/>
      <c r="B58" s="101"/>
      <c r="C58" s="92" t="s">
        <v>298</v>
      </c>
      <c r="E58" s="102" t="s">
        <v>582</v>
      </c>
      <c r="F58" s="101"/>
      <c r="G58" s="103">
        <v>2</v>
      </c>
      <c r="H58" s="101"/>
      <c r="I58" s="101"/>
      <c r="J58" s="101"/>
      <c r="K58" s="101"/>
      <c r="L58" s="101"/>
      <c r="M58" s="89"/>
      <c r="N58" s="104"/>
      <c r="O58" s="86"/>
      <c r="P58" s="85"/>
    </row>
    <row r="59" spans="1:64" ht="12.75">
      <c r="A59" s="80" t="s">
        <v>17</v>
      </c>
      <c r="B59" s="80" t="s">
        <v>150</v>
      </c>
      <c r="C59" s="162" t="s">
        <v>308</v>
      </c>
      <c r="D59" s="157"/>
      <c r="E59" s="164"/>
      <c r="F59" s="80" t="s">
        <v>655</v>
      </c>
      <c r="G59" s="83">
        <v>40</v>
      </c>
      <c r="H59" s="83">
        <v>0</v>
      </c>
      <c r="I59" s="83">
        <f>G59*AO59</f>
        <v>0</v>
      </c>
      <c r="J59" s="83">
        <f>G59*AP59</f>
        <v>0</v>
      </c>
      <c r="K59" s="83">
        <f>G59*H59</f>
        <v>0</v>
      </c>
      <c r="L59" s="83">
        <v>0</v>
      </c>
      <c r="M59" s="82">
        <v>0</v>
      </c>
      <c r="N59" s="84">
        <v>0</v>
      </c>
      <c r="O59" s="82">
        <f>G59*N59</f>
        <v>0</v>
      </c>
      <c r="P59" s="85"/>
      <c r="Z59" s="36">
        <f>IF(AQ59="5",BJ59,0)</f>
        <v>0</v>
      </c>
      <c r="AB59" s="36">
        <f>IF(AQ59="1",BH59,0)</f>
        <v>0</v>
      </c>
      <c r="AC59" s="36">
        <f>IF(AQ59="1",BI59,0)</f>
        <v>0</v>
      </c>
      <c r="AD59" s="36">
        <f>IF(AQ59="7",BH59,0)</f>
        <v>0</v>
      </c>
      <c r="AE59" s="36">
        <f>IF(AQ59="7",BI59,0)</f>
        <v>0</v>
      </c>
      <c r="AF59" s="36">
        <f>IF(AQ59="2",BH59,0)</f>
        <v>0</v>
      </c>
      <c r="AG59" s="36">
        <f>IF(AQ59="2",BI59,0)</f>
        <v>0</v>
      </c>
      <c r="AH59" s="36">
        <f>IF(AQ59="0",BJ59,0)</f>
        <v>0</v>
      </c>
      <c r="AI59" s="34" t="s">
        <v>691</v>
      </c>
      <c r="AJ59" s="24">
        <f>IF(AN59=0,K59,0)</f>
        <v>0</v>
      </c>
      <c r="AK59" s="24">
        <f>IF(AN59=15,K59,0)</f>
        <v>0</v>
      </c>
      <c r="AL59" s="24">
        <f>IF(AN59=21,K59,0)</f>
        <v>0</v>
      </c>
      <c r="AN59" s="36">
        <v>21</v>
      </c>
      <c r="AO59" s="36">
        <f>H59*0</f>
        <v>0</v>
      </c>
      <c r="AP59" s="36">
        <f>H59*(1-0)</f>
        <v>0</v>
      </c>
      <c r="AQ59" s="37" t="s">
        <v>8</v>
      </c>
      <c r="AV59" s="36">
        <f>AW59+AX59</f>
        <v>0</v>
      </c>
      <c r="AW59" s="36">
        <f>G59*AO59</f>
        <v>0</v>
      </c>
      <c r="AX59" s="36">
        <f>G59*AP59</f>
        <v>0</v>
      </c>
      <c r="AY59" s="39" t="s">
        <v>694</v>
      </c>
      <c r="AZ59" s="39" t="s">
        <v>720</v>
      </c>
      <c r="BA59" s="34" t="s">
        <v>735</v>
      </c>
      <c r="BC59" s="36">
        <f>AW59+AX59</f>
        <v>0</v>
      </c>
      <c r="BD59" s="36">
        <f>H59/(100-BE59)*100</f>
        <v>0</v>
      </c>
      <c r="BE59" s="36">
        <v>0</v>
      </c>
      <c r="BF59" s="36">
        <f>O59</f>
        <v>0</v>
      </c>
      <c r="BH59" s="24">
        <f>G59*AO59</f>
        <v>0</v>
      </c>
      <c r="BI59" s="24">
        <f>G59*AP59</f>
        <v>0</v>
      </c>
      <c r="BJ59" s="24">
        <f>G59*H59</f>
        <v>0</v>
      </c>
      <c r="BK59" s="24" t="s">
        <v>740</v>
      </c>
      <c r="BL59" s="36">
        <v>16</v>
      </c>
    </row>
    <row r="60" spans="1:16" ht="12.75">
      <c r="A60" s="6"/>
      <c r="B60" s="15" t="s">
        <v>151</v>
      </c>
      <c r="C60" s="168" t="s">
        <v>309</v>
      </c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70"/>
      <c r="P60" s="6"/>
    </row>
    <row r="61" spans="1:16" ht="12.75">
      <c r="A61" s="100"/>
      <c r="B61" s="101"/>
      <c r="C61" s="92" t="s">
        <v>46</v>
      </c>
      <c r="E61" s="102" t="s">
        <v>587</v>
      </c>
      <c r="F61" s="101"/>
      <c r="G61" s="103">
        <v>40</v>
      </c>
      <c r="H61" s="101"/>
      <c r="I61" s="101"/>
      <c r="J61" s="101"/>
      <c r="K61" s="101"/>
      <c r="L61" s="101"/>
      <c r="M61" s="89"/>
      <c r="N61" s="104"/>
      <c r="O61" s="86"/>
      <c r="P61" s="85"/>
    </row>
    <row r="62" spans="1:64" ht="12.75">
      <c r="A62" s="88" t="s">
        <v>18</v>
      </c>
      <c r="B62" s="88" t="s">
        <v>152</v>
      </c>
      <c r="C62" s="156" t="s">
        <v>310</v>
      </c>
      <c r="D62" s="157"/>
      <c r="E62" s="158"/>
      <c r="F62" s="88" t="s">
        <v>655</v>
      </c>
      <c r="G62" s="96">
        <v>40</v>
      </c>
      <c r="H62" s="96">
        <v>0</v>
      </c>
      <c r="I62" s="96">
        <f>G62*AO62</f>
        <v>0</v>
      </c>
      <c r="J62" s="96">
        <f>G62*AP62</f>
        <v>0</v>
      </c>
      <c r="K62" s="96">
        <f>G62*H62</f>
        <v>0</v>
      </c>
      <c r="L62" s="96">
        <v>0</v>
      </c>
      <c r="M62" s="81">
        <v>0</v>
      </c>
      <c r="N62" s="98">
        <v>0</v>
      </c>
      <c r="O62" s="81">
        <f>G62*N62</f>
        <v>0</v>
      </c>
      <c r="P62" s="85"/>
      <c r="Z62" s="36">
        <f>IF(AQ62="5",BJ62,0)</f>
        <v>0</v>
      </c>
      <c r="AB62" s="36">
        <f>IF(AQ62="1",BH62,0)</f>
        <v>0</v>
      </c>
      <c r="AC62" s="36">
        <f>IF(AQ62="1",BI62,0)</f>
        <v>0</v>
      </c>
      <c r="AD62" s="36">
        <f>IF(AQ62="7",BH62,0)</f>
        <v>0</v>
      </c>
      <c r="AE62" s="36">
        <f>IF(AQ62="7",BI62,0)</f>
        <v>0</v>
      </c>
      <c r="AF62" s="36">
        <f>IF(AQ62="2",BH62,0)</f>
        <v>0</v>
      </c>
      <c r="AG62" s="36">
        <f>IF(AQ62="2",BI62,0)</f>
        <v>0</v>
      </c>
      <c r="AH62" s="36">
        <f>IF(AQ62="0",BJ62,0)</f>
        <v>0</v>
      </c>
      <c r="AI62" s="34" t="s">
        <v>691</v>
      </c>
      <c r="AJ62" s="24">
        <f>IF(AN62=0,K62,0)</f>
        <v>0</v>
      </c>
      <c r="AK62" s="24">
        <f>IF(AN62=15,K62,0)</f>
        <v>0</v>
      </c>
      <c r="AL62" s="24">
        <f>IF(AN62=21,K62,0)</f>
        <v>0</v>
      </c>
      <c r="AN62" s="36">
        <v>21</v>
      </c>
      <c r="AO62" s="36">
        <f>H62*0</f>
        <v>0</v>
      </c>
      <c r="AP62" s="36">
        <f>H62*(1-0)</f>
        <v>0</v>
      </c>
      <c r="AQ62" s="37" t="s">
        <v>7</v>
      </c>
      <c r="AV62" s="36">
        <f>AW62+AX62</f>
        <v>0</v>
      </c>
      <c r="AW62" s="36">
        <f>G62*AO62</f>
        <v>0</v>
      </c>
      <c r="AX62" s="36">
        <f>G62*AP62</f>
        <v>0</v>
      </c>
      <c r="AY62" s="39" t="s">
        <v>694</v>
      </c>
      <c r="AZ62" s="39" t="s">
        <v>720</v>
      </c>
      <c r="BA62" s="34" t="s">
        <v>735</v>
      </c>
      <c r="BC62" s="36">
        <f>AW62+AX62</f>
        <v>0</v>
      </c>
      <c r="BD62" s="36">
        <f>H62/(100-BE62)*100</f>
        <v>0</v>
      </c>
      <c r="BE62" s="36">
        <v>0</v>
      </c>
      <c r="BF62" s="36">
        <f>O62</f>
        <v>0</v>
      </c>
      <c r="BH62" s="24">
        <f>G62*AO62</f>
        <v>0</v>
      </c>
      <c r="BI62" s="24">
        <f>G62*AP62</f>
        <v>0</v>
      </c>
      <c r="BJ62" s="24">
        <f>G62*H62</f>
        <v>0</v>
      </c>
      <c r="BK62" s="24" t="s">
        <v>740</v>
      </c>
      <c r="BL62" s="36">
        <v>16</v>
      </c>
    </row>
    <row r="63" spans="1:16" ht="12.75">
      <c r="A63" s="91"/>
      <c r="B63" s="94"/>
      <c r="C63" s="93" t="s">
        <v>46</v>
      </c>
      <c r="E63" s="95" t="s">
        <v>587</v>
      </c>
      <c r="F63" s="94"/>
      <c r="G63" s="97">
        <v>40</v>
      </c>
      <c r="H63" s="94"/>
      <c r="I63" s="94"/>
      <c r="J63" s="94"/>
      <c r="K63" s="94"/>
      <c r="L63" s="94"/>
      <c r="M63" s="90"/>
      <c r="N63" s="99"/>
      <c r="O63" s="87"/>
      <c r="P63" s="85"/>
    </row>
    <row r="64" spans="1:47" ht="12.75">
      <c r="A64" s="4"/>
      <c r="B64" s="13" t="s">
        <v>24</v>
      </c>
      <c r="C64" s="160" t="s">
        <v>311</v>
      </c>
      <c r="D64" s="161"/>
      <c r="E64" s="161"/>
      <c r="F64" s="22" t="s">
        <v>6</v>
      </c>
      <c r="G64" s="22" t="s">
        <v>6</v>
      </c>
      <c r="H64" s="22" t="s">
        <v>6</v>
      </c>
      <c r="I64" s="43">
        <f>SUM(I65:I70)</f>
        <v>0</v>
      </c>
      <c r="J64" s="43">
        <f>SUM(J65:J70)</f>
        <v>0</v>
      </c>
      <c r="K64" s="43">
        <f>SUM(K65:K70)</f>
        <v>0</v>
      </c>
      <c r="L64" s="34"/>
      <c r="M64" s="34"/>
      <c r="N64" s="34"/>
      <c r="O64" s="46">
        <f>SUM(O65:O70)</f>
        <v>0.00034</v>
      </c>
      <c r="P64" s="6"/>
      <c r="AI64" s="34" t="s">
        <v>691</v>
      </c>
      <c r="AS64" s="43">
        <f>SUM(AJ65:AJ70)</f>
        <v>0</v>
      </c>
      <c r="AT64" s="43">
        <f>SUM(AK65:AK70)</f>
        <v>0</v>
      </c>
      <c r="AU64" s="43">
        <f>SUM(AL65:AL70)</f>
        <v>0</v>
      </c>
    </row>
    <row r="65" spans="1:64" ht="12.75">
      <c r="A65" s="88" t="s">
        <v>19</v>
      </c>
      <c r="B65" s="88" t="s">
        <v>153</v>
      </c>
      <c r="C65" s="156" t="s">
        <v>312</v>
      </c>
      <c r="D65" s="157"/>
      <c r="E65" s="158"/>
      <c r="F65" s="88" t="s">
        <v>653</v>
      </c>
      <c r="G65" s="96">
        <v>90</v>
      </c>
      <c r="H65" s="96">
        <v>0</v>
      </c>
      <c r="I65" s="96">
        <f>G65*AO65</f>
        <v>0</v>
      </c>
      <c r="J65" s="96">
        <f>G65*AP65</f>
        <v>0</v>
      </c>
      <c r="K65" s="96">
        <f>G65*H65</f>
        <v>0</v>
      </c>
      <c r="L65" s="96">
        <v>0</v>
      </c>
      <c r="M65" s="81">
        <v>0</v>
      </c>
      <c r="N65" s="98">
        <v>0</v>
      </c>
      <c r="O65" s="81">
        <f>G65*N65</f>
        <v>0</v>
      </c>
      <c r="P65" s="85"/>
      <c r="Z65" s="36">
        <f>IF(AQ65="5",BJ65,0)</f>
        <v>0</v>
      </c>
      <c r="AB65" s="36">
        <f>IF(AQ65="1",BH65,0)</f>
        <v>0</v>
      </c>
      <c r="AC65" s="36">
        <f>IF(AQ65="1",BI65,0)</f>
        <v>0</v>
      </c>
      <c r="AD65" s="36">
        <f>IF(AQ65="7",BH65,0)</f>
        <v>0</v>
      </c>
      <c r="AE65" s="36">
        <f>IF(AQ65="7",BI65,0)</f>
        <v>0</v>
      </c>
      <c r="AF65" s="36">
        <f>IF(AQ65="2",BH65,0)</f>
        <v>0</v>
      </c>
      <c r="AG65" s="36">
        <f>IF(AQ65="2",BI65,0)</f>
        <v>0</v>
      </c>
      <c r="AH65" s="36">
        <f>IF(AQ65="0",BJ65,0)</f>
        <v>0</v>
      </c>
      <c r="AI65" s="34" t="s">
        <v>691</v>
      </c>
      <c r="AJ65" s="24">
        <f>IF(AN65=0,K65,0)</f>
        <v>0</v>
      </c>
      <c r="AK65" s="24">
        <f>IF(AN65=15,K65,0)</f>
        <v>0</v>
      </c>
      <c r="AL65" s="24">
        <f>IF(AN65=21,K65,0)</f>
        <v>0</v>
      </c>
      <c r="AN65" s="36">
        <v>21</v>
      </c>
      <c r="AO65" s="36">
        <f>H65*0</f>
        <v>0</v>
      </c>
      <c r="AP65" s="36">
        <f>H65*(1-0)</f>
        <v>0</v>
      </c>
      <c r="AQ65" s="37" t="s">
        <v>7</v>
      </c>
      <c r="AV65" s="36">
        <f>AW65+AX65</f>
        <v>0</v>
      </c>
      <c r="AW65" s="36">
        <f>G65*AO65</f>
        <v>0</v>
      </c>
      <c r="AX65" s="36">
        <f>G65*AP65</f>
        <v>0</v>
      </c>
      <c r="AY65" s="39" t="s">
        <v>695</v>
      </c>
      <c r="AZ65" s="39" t="s">
        <v>720</v>
      </c>
      <c r="BA65" s="34" t="s">
        <v>735</v>
      </c>
      <c r="BC65" s="36">
        <f>AW65+AX65</f>
        <v>0</v>
      </c>
      <c r="BD65" s="36">
        <f>H65/(100-BE65)*100</f>
        <v>0</v>
      </c>
      <c r="BE65" s="36">
        <v>0</v>
      </c>
      <c r="BF65" s="36">
        <f>O65</f>
        <v>0</v>
      </c>
      <c r="BH65" s="24">
        <f>G65*AO65</f>
        <v>0</v>
      </c>
      <c r="BI65" s="24">
        <f>G65*AP65</f>
        <v>0</v>
      </c>
      <c r="BJ65" s="24">
        <f>G65*H65</f>
        <v>0</v>
      </c>
      <c r="BK65" s="24" t="s">
        <v>740</v>
      </c>
      <c r="BL65" s="36">
        <v>18</v>
      </c>
    </row>
    <row r="66" spans="1:16" ht="12.75">
      <c r="A66" s="91"/>
      <c r="B66" s="94"/>
      <c r="C66" s="93" t="s">
        <v>313</v>
      </c>
      <c r="E66" s="95" t="s">
        <v>588</v>
      </c>
      <c r="F66" s="94"/>
      <c r="G66" s="97">
        <v>90</v>
      </c>
      <c r="H66" s="94"/>
      <c r="I66" s="94"/>
      <c r="J66" s="94"/>
      <c r="K66" s="94"/>
      <c r="L66" s="94"/>
      <c r="M66" s="90"/>
      <c r="N66" s="99"/>
      <c r="O66" s="87"/>
      <c r="P66" s="85"/>
    </row>
    <row r="67" spans="1:16" ht="12.75">
      <c r="A67" s="6"/>
      <c r="B67" s="16" t="s">
        <v>137</v>
      </c>
      <c r="C67" s="165" t="s">
        <v>314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7"/>
      <c r="P67" s="6"/>
    </row>
    <row r="68" spans="1:64" ht="12.75">
      <c r="A68" s="88" t="s">
        <v>20</v>
      </c>
      <c r="B68" s="88" t="s">
        <v>154</v>
      </c>
      <c r="C68" s="156" t="s">
        <v>315</v>
      </c>
      <c r="D68" s="157"/>
      <c r="E68" s="158"/>
      <c r="F68" s="88" t="s">
        <v>653</v>
      </c>
      <c r="G68" s="96">
        <v>35</v>
      </c>
      <c r="H68" s="96">
        <v>0</v>
      </c>
      <c r="I68" s="96">
        <f>G68*AO68</f>
        <v>0</v>
      </c>
      <c r="J68" s="96">
        <f>G68*AP68</f>
        <v>0</v>
      </c>
      <c r="K68" s="96">
        <f>G68*H68</f>
        <v>0</v>
      </c>
      <c r="L68" s="96">
        <v>0</v>
      </c>
      <c r="M68" s="81">
        <v>0</v>
      </c>
      <c r="N68" s="98">
        <v>0</v>
      </c>
      <c r="O68" s="81">
        <f>G68*N68</f>
        <v>0</v>
      </c>
      <c r="P68" s="85"/>
      <c r="Z68" s="36">
        <f>IF(AQ68="5",BJ68,0)</f>
        <v>0</v>
      </c>
      <c r="AB68" s="36">
        <f>IF(AQ68="1",BH68,0)</f>
        <v>0</v>
      </c>
      <c r="AC68" s="36">
        <f>IF(AQ68="1",BI68,0)</f>
        <v>0</v>
      </c>
      <c r="AD68" s="36">
        <f>IF(AQ68="7",BH68,0)</f>
        <v>0</v>
      </c>
      <c r="AE68" s="36">
        <f>IF(AQ68="7",BI68,0)</f>
        <v>0</v>
      </c>
      <c r="AF68" s="36">
        <f>IF(AQ68="2",BH68,0)</f>
        <v>0</v>
      </c>
      <c r="AG68" s="36">
        <f>IF(AQ68="2",BI68,0)</f>
        <v>0</v>
      </c>
      <c r="AH68" s="36">
        <f>IF(AQ68="0",BJ68,0)</f>
        <v>0</v>
      </c>
      <c r="AI68" s="34" t="s">
        <v>691</v>
      </c>
      <c r="AJ68" s="24">
        <f>IF(AN68=0,K68,0)</f>
        <v>0</v>
      </c>
      <c r="AK68" s="24">
        <f>IF(AN68=15,K68,0)</f>
        <v>0</v>
      </c>
      <c r="AL68" s="24">
        <f>IF(AN68=21,K68,0)</f>
        <v>0</v>
      </c>
      <c r="AN68" s="36">
        <v>21</v>
      </c>
      <c r="AO68" s="36">
        <f>H68*0</f>
        <v>0</v>
      </c>
      <c r="AP68" s="36">
        <f>H68*(1-0)</f>
        <v>0</v>
      </c>
      <c r="AQ68" s="37" t="s">
        <v>7</v>
      </c>
      <c r="AV68" s="36">
        <f>AW68+AX68</f>
        <v>0</v>
      </c>
      <c r="AW68" s="36">
        <f>G68*AO68</f>
        <v>0</v>
      </c>
      <c r="AX68" s="36">
        <f>G68*AP68</f>
        <v>0</v>
      </c>
      <c r="AY68" s="39" t="s">
        <v>695</v>
      </c>
      <c r="AZ68" s="39" t="s">
        <v>720</v>
      </c>
      <c r="BA68" s="34" t="s">
        <v>735</v>
      </c>
      <c r="BC68" s="36">
        <f>AW68+AX68</f>
        <v>0</v>
      </c>
      <c r="BD68" s="36">
        <f>H68/(100-BE68)*100</f>
        <v>0</v>
      </c>
      <c r="BE68" s="36">
        <v>0</v>
      </c>
      <c r="BF68" s="36">
        <f>O68</f>
        <v>0</v>
      </c>
      <c r="BH68" s="24">
        <f>G68*AO68</f>
        <v>0</v>
      </c>
      <c r="BI68" s="24">
        <f>G68*AP68</f>
        <v>0</v>
      </c>
      <c r="BJ68" s="24">
        <f>G68*H68</f>
        <v>0</v>
      </c>
      <c r="BK68" s="24" t="s">
        <v>740</v>
      </c>
      <c r="BL68" s="36">
        <v>18</v>
      </c>
    </row>
    <row r="69" spans="1:16" ht="12.75">
      <c r="A69" s="100"/>
      <c r="B69" s="101"/>
      <c r="C69" s="92" t="s">
        <v>316</v>
      </c>
      <c r="E69" s="102" t="s">
        <v>589</v>
      </c>
      <c r="F69" s="101"/>
      <c r="G69" s="103">
        <v>35</v>
      </c>
      <c r="H69" s="101"/>
      <c r="I69" s="101"/>
      <c r="J69" s="101"/>
      <c r="K69" s="101"/>
      <c r="L69" s="101"/>
      <c r="M69" s="89"/>
      <c r="N69" s="104"/>
      <c r="O69" s="86"/>
      <c r="P69" s="85"/>
    </row>
    <row r="70" spans="1:64" ht="12.75">
      <c r="A70" s="88" t="s">
        <v>21</v>
      </c>
      <c r="B70" s="88" t="s">
        <v>155</v>
      </c>
      <c r="C70" s="156" t="s">
        <v>317</v>
      </c>
      <c r="D70" s="157"/>
      <c r="E70" s="158"/>
      <c r="F70" s="88" t="s">
        <v>653</v>
      </c>
      <c r="G70" s="96">
        <v>17</v>
      </c>
      <c r="H70" s="96">
        <v>0</v>
      </c>
      <c r="I70" s="96">
        <f>G70*AO70</f>
        <v>0</v>
      </c>
      <c r="J70" s="96">
        <f>G70*AP70</f>
        <v>0</v>
      </c>
      <c r="K70" s="96">
        <f>G70*H70</f>
        <v>0</v>
      </c>
      <c r="L70" s="96">
        <v>2E-05</v>
      </c>
      <c r="M70" s="81">
        <v>0</v>
      </c>
      <c r="N70" s="98">
        <v>2E-05</v>
      </c>
      <c r="O70" s="81">
        <f>G70*N70</f>
        <v>0.00034</v>
      </c>
      <c r="P70" s="85"/>
      <c r="Z70" s="36">
        <f>IF(AQ70="5",BJ70,0)</f>
        <v>0</v>
      </c>
      <c r="AB70" s="36">
        <f>IF(AQ70="1",BH70,0)</f>
        <v>0</v>
      </c>
      <c r="AC70" s="36">
        <f>IF(AQ70="1",BI70,0)</f>
        <v>0</v>
      </c>
      <c r="AD70" s="36">
        <f>IF(AQ70="7",BH70,0)</f>
        <v>0</v>
      </c>
      <c r="AE70" s="36">
        <f>IF(AQ70="7",BI70,0)</f>
        <v>0</v>
      </c>
      <c r="AF70" s="36">
        <f>IF(AQ70="2",BH70,0)</f>
        <v>0</v>
      </c>
      <c r="AG70" s="36">
        <f>IF(AQ70="2",BI70,0)</f>
        <v>0</v>
      </c>
      <c r="AH70" s="36">
        <f>IF(AQ70="0",BJ70,0)</f>
        <v>0</v>
      </c>
      <c r="AI70" s="34" t="s">
        <v>691</v>
      </c>
      <c r="AJ70" s="24">
        <f>IF(AN70=0,K70,0)</f>
        <v>0</v>
      </c>
      <c r="AK70" s="24">
        <f>IF(AN70=15,K70,0)</f>
        <v>0</v>
      </c>
      <c r="AL70" s="24">
        <f>IF(AN70=21,K70,0)</f>
        <v>0</v>
      </c>
      <c r="AN70" s="36">
        <v>21</v>
      </c>
      <c r="AO70" s="36">
        <f>H70*0.108695652173913</f>
        <v>0</v>
      </c>
      <c r="AP70" s="36">
        <f>H70*(1-0.108695652173913)</f>
        <v>0</v>
      </c>
      <c r="AQ70" s="37" t="s">
        <v>8</v>
      </c>
      <c r="AV70" s="36">
        <f>AW70+AX70</f>
        <v>0</v>
      </c>
      <c r="AW70" s="36">
        <f>G70*AO70</f>
        <v>0</v>
      </c>
      <c r="AX70" s="36">
        <f>G70*AP70</f>
        <v>0</v>
      </c>
      <c r="AY70" s="39" t="s">
        <v>695</v>
      </c>
      <c r="AZ70" s="39" t="s">
        <v>720</v>
      </c>
      <c r="BA70" s="34" t="s">
        <v>735</v>
      </c>
      <c r="BC70" s="36">
        <f>AW70+AX70</f>
        <v>0</v>
      </c>
      <c r="BD70" s="36">
        <f>H70/(100-BE70)*100</f>
        <v>0</v>
      </c>
      <c r="BE70" s="36">
        <v>0</v>
      </c>
      <c r="BF70" s="36">
        <f>O70</f>
        <v>0.00034</v>
      </c>
      <c r="BH70" s="24">
        <f>G70*AO70</f>
        <v>0</v>
      </c>
      <c r="BI70" s="24">
        <f>G70*AP70</f>
        <v>0</v>
      </c>
      <c r="BJ70" s="24">
        <f>G70*H70</f>
        <v>0</v>
      </c>
      <c r="BK70" s="24" t="s">
        <v>740</v>
      </c>
      <c r="BL70" s="36">
        <v>18</v>
      </c>
    </row>
    <row r="71" spans="1:16" ht="12.75">
      <c r="A71" s="91"/>
      <c r="B71" s="94"/>
      <c r="C71" s="93" t="s">
        <v>318</v>
      </c>
      <c r="E71" s="95"/>
      <c r="F71" s="94"/>
      <c r="G71" s="97">
        <v>17</v>
      </c>
      <c r="H71" s="94"/>
      <c r="I71" s="94"/>
      <c r="J71" s="94"/>
      <c r="K71" s="94"/>
      <c r="L71" s="94"/>
      <c r="M71" s="90"/>
      <c r="N71" s="99"/>
      <c r="O71" s="87"/>
      <c r="P71" s="85"/>
    </row>
    <row r="72" spans="1:47" ht="12.75">
      <c r="A72" s="4"/>
      <c r="B72" s="13" t="s">
        <v>62</v>
      </c>
      <c r="C72" s="160" t="s">
        <v>319</v>
      </c>
      <c r="D72" s="161"/>
      <c r="E72" s="161"/>
      <c r="F72" s="22" t="s">
        <v>6</v>
      </c>
      <c r="G72" s="22" t="s">
        <v>6</v>
      </c>
      <c r="H72" s="22" t="s">
        <v>6</v>
      </c>
      <c r="I72" s="43">
        <f>SUM(I73:I115)</f>
        <v>0</v>
      </c>
      <c r="J72" s="43">
        <f>SUM(J73:J115)</f>
        <v>0</v>
      </c>
      <c r="K72" s="43">
        <f>SUM(K73:K115)</f>
        <v>0</v>
      </c>
      <c r="L72" s="34"/>
      <c r="M72" s="34"/>
      <c r="N72" s="34"/>
      <c r="O72" s="46">
        <f>SUM(O73:O115)</f>
        <v>81.86348000000001</v>
      </c>
      <c r="P72" s="6"/>
      <c r="AI72" s="34" t="s">
        <v>691</v>
      </c>
      <c r="AS72" s="43">
        <f>SUM(AJ73:AJ115)</f>
        <v>0</v>
      </c>
      <c r="AT72" s="43">
        <f>SUM(AK73:AK115)</f>
        <v>0</v>
      </c>
      <c r="AU72" s="43">
        <f>SUM(AL73:AL115)</f>
        <v>0</v>
      </c>
    </row>
    <row r="73" spans="1:64" ht="12.75">
      <c r="A73" s="88" t="s">
        <v>22</v>
      </c>
      <c r="B73" s="88" t="s">
        <v>156</v>
      </c>
      <c r="C73" s="156" t="s">
        <v>320</v>
      </c>
      <c r="D73" s="157"/>
      <c r="E73" s="158"/>
      <c r="F73" s="88" t="s">
        <v>654</v>
      </c>
      <c r="G73" s="96">
        <v>30</v>
      </c>
      <c r="H73" s="96">
        <v>0</v>
      </c>
      <c r="I73" s="96">
        <f>G73*AO73</f>
        <v>0</v>
      </c>
      <c r="J73" s="96">
        <f>G73*AP73</f>
        <v>0</v>
      </c>
      <c r="K73" s="96">
        <f>G73*H73</f>
        <v>0</v>
      </c>
      <c r="L73" s="96">
        <v>0</v>
      </c>
      <c r="M73" s="81">
        <v>0</v>
      </c>
      <c r="N73" s="98">
        <v>0</v>
      </c>
      <c r="O73" s="81">
        <f>G73*N73</f>
        <v>0</v>
      </c>
      <c r="P73" s="85"/>
      <c r="Z73" s="36">
        <f>IF(AQ73="5",BJ73,0)</f>
        <v>0</v>
      </c>
      <c r="AB73" s="36">
        <f>IF(AQ73="1",BH73,0)</f>
        <v>0</v>
      </c>
      <c r="AC73" s="36">
        <f>IF(AQ73="1",BI73,0)</f>
        <v>0</v>
      </c>
      <c r="AD73" s="36">
        <f>IF(AQ73="7",BH73,0)</f>
        <v>0</v>
      </c>
      <c r="AE73" s="36">
        <f>IF(AQ73="7",BI73,0)</f>
        <v>0</v>
      </c>
      <c r="AF73" s="36">
        <f>IF(AQ73="2",BH73,0)</f>
        <v>0</v>
      </c>
      <c r="AG73" s="36">
        <f>IF(AQ73="2",BI73,0)</f>
        <v>0</v>
      </c>
      <c r="AH73" s="36">
        <f>IF(AQ73="0",BJ73,0)</f>
        <v>0</v>
      </c>
      <c r="AI73" s="34" t="s">
        <v>691</v>
      </c>
      <c r="AJ73" s="24">
        <f>IF(AN73=0,K73,0)</f>
        <v>0</v>
      </c>
      <c r="AK73" s="24">
        <f>IF(AN73=15,K73,0)</f>
        <v>0</v>
      </c>
      <c r="AL73" s="24">
        <f>IF(AN73=21,K73,0)</f>
        <v>0</v>
      </c>
      <c r="AN73" s="36">
        <v>21</v>
      </c>
      <c r="AO73" s="36">
        <f>H73*0.0465084745762712</f>
        <v>0</v>
      </c>
      <c r="AP73" s="36">
        <f>H73*(1-0.0465084745762712)</f>
        <v>0</v>
      </c>
      <c r="AQ73" s="37" t="s">
        <v>7</v>
      </c>
      <c r="AV73" s="36">
        <f>AW73+AX73</f>
        <v>0</v>
      </c>
      <c r="AW73" s="36">
        <f>G73*AO73</f>
        <v>0</v>
      </c>
      <c r="AX73" s="36">
        <f>G73*AP73</f>
        <v>0</v>
      </c>
      <c r="AY73" s="39" t="s">
        <v>696</v>
      </c>
      <c r="AZ73" s="39" t="s">
        <v>721</v>
      </c>
      <c r="BA73" s="34" t="s">
        <v>735</v>
      </c>
      <c r="BC73" s="36">
        <f>AW73+AX73</f>
        <v>0</v>
      </c>
      <c r="BD73" s="36">
        <f>H73/(100-BE73)*100</f>
        <v>0</v>
      </c>
      <c r="BE73" s="36">
        <v>0</v>
      </c>
      <c r="BF73" s="36">
        <f>O73</f>
        <v>0</v>
      </c>
      <c r="BH73" s="24">
        <f>G73*AO73</f>
        <v>0</v>
      </c>
      <c r="BI73" s="24">
        <f>G73*AP73</f>
        <v>0</v>
      </c>
      <c r="BJ73" s="24">
        <f>G73*H73</f>
        <v>0</v>
      </c>
      <c r="BK73" s="24" t="s">
        <v>740</v>
      </c>
      <c r="BL73" s="36">
        <v>56</v>
      </c>
    </row>
    <row r="74" spans="1:16" ht="12.75">
      <c r="A74" s="91"/>
      <c r="B74" s="94"/>
      <c r="C74" s="93" t="s">
        <v>321</v>
      </c>
      <c r="E74" s="95"/>
      <c r="F74" s="94"/>
      <c r="G74" s="97">
        <v>30</v>
      </c>
      <c r="H74" s="94"/>
      <c r="I74" s="94"/>
      <c r="J74" s="94"/>
      <c r="K74" s="94"/>
      <c r="L74" s="94"/>
      <c r="M74" s="90"/>
      <c r="N74" s="99"/>
      <c r="O74" s="87"/>
      <c r="P74" s="85"/>
    </row>
    <row r="75" spans="1:16" ht="12.75">
      <c r="A75" s="6"/>
      <c r="B75" s="16" t="s">
        <v>137</v>
      </c>
      <c r="C75" s="165" t="s">
        <v>322</v>
      </c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7"/>
      <c r="P75" s="6"/>
    </row>
    <row r="76" spans="1:64" ht="12.75">
      <c r="A76" s="88" t="s">
        <v>23</v>
      </c>
      <c r="B76" s="88" t="s">
        <v>157</v>
      </c>
      <c r="C76" s="156" t="s">
        <v>323</v>
      </c>
      <c r="D76" s="157"/>
      <c r="E76" s="158"/>
      <c r="F76" s="88" t="s">
        <v>654</v>
      </c>
      <c r="G76" s="96">
        <v>28</v>
      </c>
      <c r="H76" s="96">
        <v>0</v>
      </c>
      <c r="I76" s="96">
        <f>G76*AO76</f>
        <v>0</v>
      </c>
      <c r="J76" s="96">
        <f>G76*AP76</f>
        <v>0</v>
      </c>
      <c r="K76" s="96">
        <f>G76*H76</f>
        <v>0</v>
      </c>
      <c r="L76" s="96">
        <v>0.00084</v>
      </c>
      <c r="M76" s="81">
        <v>0</v>
      </c>
      <c r="N76" s="98">
        <v>0.00084</v>
      </c>
      <c r="O76" s="81">
        <f>G76*N76</f>
        <v>0.02352</v>
      </c>
      <c r="P76" s="85"/>
      <c r="Z76" s="36">
        <f>IF(AQ76="5",BJ76,0)</f>
        <v>0</v>
      </c>
      <c r="AB76" s="36">
        <f>IF(AQ76="1",BH76,0)</f>
        <v>0</v>
      </c>
      <c r="AC76" s="36">
        <f>IF(AQ76="1",BI76,0)</f>
        <v>0</v>
      </c>
      <c r="AD76" s="36">
        <f>IF(AQ76="7",BH76,0)</f>
        <v>0</v>
      </c>
      <c r="AE76" s="36">
        <f>IF(AQ76="7",BI76,0)</f>
        <v>0</v>
      </c>
      <c r="AF76" s="36">
        <f>IF(AQ76="2",BH76,0)</f>
        <v>0</v>
      </c>
      <c r="AG76" s="36">
        <f>IF(AQ76="2",BI76,0)</f>
        <v>0</v>
      </c>
      <c r="AH76" s="36">
        <f>IF(AQ76="0",BJ76,0)</f>
        <v>0</v>
      </c>
      <c r="AI76" s="34" t="s">
        <v>691</v>
      </c>
      <c r="AJ76" s="24">
        <f>IF(AN76=0,K76,0)</f>
        <v>0</v>
      </c>
      <c r="AK76" s="24">
        <f>IF(AN76=15,K76,0)</f>
        <v>0</v>
      </c>
      <c r="AL76" s="24">
        <f>IF(AN76=21,K76,0)</f>
        <v>0</v>
      </c>
      <c r="AN76" s="36">
        <v>21</v>
      </c>
      <c r="AO76" s="36">
        <f>H76*0.0563542265669925</f>
        <v>0</v>
      </c>
      <c r="AP76" s="36">
        <f>H76*(1-0.0563542265669925)</f>
        <v>0</v>
      </c>
      <c r="AQ76" s="37" t="s">
        <v>7</v>
      </c>
      <c r="AV76" s="36">
        <f>AW76+AX76</f>
        <v>0</v>
      </c>
      <c r="AW76" s="36">
        <f>G76*AO76</f>
        <v>0</v>
      </c>
      <c r="AX76" s="36">
        <f>G76*AP76</f>
        <v>0</v>
      </c>
      <c r="AY76" s="39" t="s">
        <v>696</v>
      </c>
      <c r="AZ76" s="39" t="s">
        <v>721</v>
      </c>
      <c r="BA76" s="34" t="s">
        <v>735</v>
      </c>
      <c r="BC76" s="36">
        <f>AW76+AX76</f>
        <v>0</v>
      </c>
      <c r="BD76" s="36">
        <f>H76/(100-BE76)*100</f>
        <v>0</v>
      </c>
      <c r="BE76" s="36">
        <v>0</v>
      </c>
      <c r="BF76" s="36">
        <f>O76</f>
        <v>0.02352</v>
      </c>
      <c r="BH76" s="24">
        <f>G76*AO76</f>
        <v>0</v>
      </c>
      <c r="BI76" s="24">
        <f>G76*AP76</f>
        <v>0</v>
      </c>
      <c r="BJ76" s="24">
        <f>G76*H76</f>
        <v>0</v>
      </c>
      <c r="BK76" s="24" t="s">
        <v>740</v>
      </c>
      <c r="BL76" s="36">
        <v>56</v>
      </c>
    </row>
    <row r="77" spans="1:16" ht="12.75">
      <c r="A77" s="91"/>
      <c r="B77" s="94"/>
      <c r="C77" s="93" t="s">
        <v>324</v>
      </c>
      <c r="E77" s="95"/>
      <c r="F77" s="94"/>
      <c r="G77" s="97">
        <v>28</v>
      </c>
      <c r="H77" s="94"/>
      <c r="I77" s="94"/>
      <c r="J77" s="94"/>
      <c r="K77" s="94"/>
      <c r="L77" s="94"/>
      <c r="M77" s="90"/>
      <c r="N77" s="99"/>
      <c r="O77" s="87"/>
      <c r="P77" s="85"/>
    </row>
    <row r="78" spans="1:16" ht="12.75">
      <c r="A78" s="6"/>
      <c r="B78" s="16" t="s">
        <v>137</v>
      </c>
      <c r="C78" s="165" t="s">
        <v>325</v>
      </c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7"/>
      <c r="P78" s="6"/>
    </row>
    <row r="79" spans="1:64" ht="12.75">
      <c r="A79" s="88" t="s">
        <v>24</v>
      </c>
      <c r="B79" s="88" t="s">
        <v>158</v>
      </c>
      <c r="C79" s="156" t="s">
        <v>326</v>
      </c>
      <c r="D79" s="157"/>
      <c r="E79" s="158"/>
      <c r="F79" s="88" t="s">
        <v>653</v>
      </c>
      <c r="G79" s="96">
        <v>57</v>
      </c>
      <c r="H79" s="96">
        <v>0</v>
      </c>
      <c r="I79" s="96">
        <f>G79*AO79</f>
        <v>0</v>
      </c>
      <c r="J79" s="96">
        <f>G79*AP79</f>
        <v>0</v>
      </c>
      <c r="K79" s="96">
        <f>G79*H79</f>
        <v>0</v>
      </c>
      <c r="L79" s="96">
        <v>0.072</v>
      </c>
      <c r="M79" s="81">
        <v>0</v>
      </c>
      <c r="N79" s="98">
        <v>0.072</v>
      </c>
      <c r="O79" s="81">
        <f>G79*N79</f>
        <v>4.104</v>
      </c>
      <c r="P79" s="85"/>
      <c r="Z79" s="36">
        <f>IF(AQ79="5",BJ79,0)</f>
        <v>0</v>
      </c>
      <c r="AB79" s="36">
        <f>IF(AQ79="1",BH79,0)</f>
        <v>0</v>
      </c>
      <c r="AC79" s="36">
        <f>IF(AQ79="1",BI79,0)</f>
        <v>0</v>
      </c>
      <c r="AD79" s="36">
        <f>IF(AQ79="7",BH79,0)</f>
        <v>0</v>
      </c>
      <c r="AE79" s="36">
        <f>IF(AQ79="7",BI79,0)</f>
        <v>0</v>
      </c>
      <c r="AF79" s="36">
        <f>IF(AQ79="2",BH79,0)</f>
        <v>0</v>
      </c>
      <c r="AG79" s="36">
        <f>IF(AQ79="2",BI79,0)</f>
        <v>0</v>
      </c>
      <c r="AH79" s="36">
        <f>IF(AQ79="0",BJ79,0)</f>
        <v>0</v>
      </c>
      <c r="AI79" s="34" t="s">
        <v>691</v>
      </c>
      <c r="AJ79" s="24">
        <f>IF(AN79=0,K79,0)</f>
        <v>0</v>
      </c>
      <c r="AK79" s="24">
        <f>IF(AN79=15,K79,0)</f>
        <v>0</v>
      </c>
      <c r="AL79" s="24">
        <f>IF(AN79=21,K79,0)</f>
        <v>0</v>
      </c>
      <c r="AN79" s="36">
        <v>21</v>
      </c>
      <c r="AO79" s="36">
        <f>H79*0.126788511749347</f>
        <v>0</v>
      </c>
      <c r="AP79" s="36">
        <f>H79*(1-0.126788511749347)</f>
        <v>0</v>
      </c>
      <c r="AQ79" s="37" t="s">
        <v>7</v>
      </c>
      <c r="AV79" s="36">
        <f>AW79+AX79</f>
        <v>0</v>
      </c>
      <c r="AW79" s="36">
        <f>G79*AO79</f>
        <v>0</v>
      </c>
      <c r="AX79" s="36">
        <f>G79*AP79</f>
        <v>0</v>
      </c>
      <c r="AY79" s="39" t="s">
        <v>696</v>
      </c>
      <c r="AZ79" s="39" t="s">
        <v>721</v>
      </c>
      <c r="BA79" s="34" t="s">
        <v>735</v>
      </c>
      <c r="BC79" s="36">
        <f>AW79+AX79</f>
        <v>0</v>
      </c>
      <c r="BD79" s="36">
        <f>H79/(100-BE79)*100</f>
        <v>0</v>
      </c>
      <c r="BE79" s="36">
        <v>0</v>
      </c>
      <c r="BF79" s="36">
        <f>O79</f>
        <v>4.104</v>
      </c>
      <c r="BH79" s="24">
        <f>G79*AO79</f>
        <v>0</v>
      </c>
      <c r="BI79" s="24">
        <f>G79*AP79</f>
        <v>0</v>
      </c>
      <c r="BJ79" s="24">
        <f>G79*H79</f>
        <v>0</v>
      </c>
      <c r="BK79" s="24" t="s">
        <v>740</v>
      </c>
      <c r="BL79" s="36">
        <v>56</v>
      </c>
    </row>
    <row r="80" spans="1:16" ht="12.75">
      <c r="A80" s="100"/>
      <c r="B80" s="101"/>
      <c r="C80" s="92" t="s">
        <v>36</v>
      </c>
      <c r="E80" s="102" t="s">
        <v>567</v>
      </c>
      <c r="F80" s="101"/>
      <c r="G80" s="103">
        <v>30</v>
      </c>
      <c r="H80" s="101"/>
      <c r="I80" s="101"/>
      <c r="J80" s="101"/>
      <c r="K80" s="101"/>
      <c r="L80" s="101"/>
      <c r="M80" s="89"/>
      <c r="N80" s="104"/>
      <c r="O80" s="86"/>
      <c r="P80" s="85"/>
    </row>
    <row r="81" spans="1:16" ht="12.75">
      <c r="A81" s="100"/>
      <c r="B81" s="101"/>
      <c r="C81" s="92" t="s">
        <v>23</v>
      </c>
      <c r="E81" s="102" t="s">
        <v>568</v>
      </c>
      <c r="F81" s="101"/>
      <c r="G81" s="103">
        <v>17</v>
      </c>
      <c r="H81" s="101"/>
      <c r="I81" s="101"/>
      <c r="J81" s="101"/>
      <c r="K81" s="101"/>
      <c r="L81" s="101"/>
      <c r="M81" s="89"/>
      <c r="N81" s="104"/>
      <c r="O81" s="86"/>
      <c r="P81" s="85"/>
    </row>
    <row r="82" spans="1:16" ht="12.75">
      <c r="A82" s="100"/>
      <c r="B82" s="101"/>
      <c r="C82" s="92" t="s">
        <v>13</v>
      </c>
      <c r="E82" s="102" t="s">
        <v>569</v>
      </c>
      <c r="F82" s="101"/>
      <c r="G82" s="103">
        <v>7</v>
      </c>
      <c r="H82" s="101"/>
      <c r="I82" s="101"/>
      <c r="J82" s="101"/>
      <c r="K82" s="101"/>
      <c r="L82" s="101"/>
      <c r="M82" s="89"/>
      <c r="N82" s="104"/>
      <c r="O82" s="86"/>
      <c r="P82" s="85"/>
    </row>
    <row r="83" spans="1:16" ht="12.75">
      <c r="A83" s="100"/>
      <c r="B83" s="101"/>
      <c r="C83" s="92" t="s">
        <v>9</v>
      </c>
      <c r="E83" s="102" t="s">
        <v>570</v>
      </c>
      <c r="F83" s="101"/>
      <c r="G83" s="103">
        <v>3</v>
      </c>
      <c r="H83" s="101"/>
      <c r="I83" s="101"/>
      <c r="J83" s="101"/>
      <c r="K83" s="101"/>
      <c r="L83" s="101"/>
      <c r="M83" s="89"/>
      <c r="N83" s="104"/>
      <c r="O83" s="86"/>
      <c r="P83" s="85"/>
    </row>
    <row r="84" spans="1:64" ht="12.75">
      <c r="A84" s="88" t="s">
        <v>25</v>
      </c>
      <c r="B84" s="88" t="s">
        <v>159</v>
      </c>
      <c r="C84" s="156" t="s">
        <v>327</v>
      </c>
      <c r="D84" s="157"/>
      <c r="E84" s="158"/>
      <c r="F84" s="88" t="s">
        <v>653</v>
      </c>
      <c r="G84" s="96">
        <v>2</v>
      </c>
      <c r="H84" s="96">
        <v>0</v>
      </c>
      <c r="I84" s="96">
        <f>G84*AO84</f>
        <v>0</v>
      </c>
      <c r="J84" s="96">
        <f>G84*AP84</f>
        <v>0</v>
      </c>
      <c r="K84" s="96">
        <f>G84*H84</f>
        <v>0</v>
      </c>
      <c r="L84" s="96">
        <v>0.16848</v>
      </c>
      <c r="M84" s="81">
        <v>0</v>
      </c>
      <c r="N84" s="98">
        <v>0.16848</v>
      </c>
      <c r="O84" s="81">
        <f>G84*N84</f>
        <v>0.33696</v>
      </c>
      <c r="P84" s="85"/>
      <c r="Z84" s="36">
        <f>IF(AQ84="5",BJ84,0)</f>
        <v>0</v>
      </c>
      <c r="AB84" s="36">
        <f>IF(AQ84="1",BH84,0)</f>
        <v>0</v>
      </c>
      <c r="AC84" s="36">
        <f>IF(AQ84="1",BI84,0)</f>
        <v>0</v>
      </c>
      <c r="AD84" s="36">
        <f>IF(AQ84="7",BH84,0)</f>
        <v>0</v>
      </c>
      <c r="AE84" s="36">
        <f>IF(AQ84="7",BI84,0)</f>
        <v>0</v>
      </c>
      <c r="AF84" s="36">
        <f>IF(AQ84="2",BH84,0)</f>
        <v>0</v>
      </c>
      <c r="AG84" s="36">
        <f>IF(AQ84="2",BI84,0)</f>
        <v>0</v>
      </c>
      <c r="AH84" s="36">
        <f>IF(AQ84="0",BJ84,0)</f>
        <v>0</v>
      </c>
      <c r="AI84" s="34" t="s">
        <v>691</v>
      </c>
      <c r="AJ84" s="24">
        <f>IF(AN84=0,K84,0)</f>
        <v>0</v>
      </c>
      <c r="AK84" s="24">
        <f>IF(AN84=15,K84,0)</f>
        <v>0</v>
      </c>
      <c r="AL84" s="24">
        <f>IF(AN84=21,K84,0)</f>
        <v>0</v>
      </c>
      <c r="AN84" s="36">
        <v>21</v>
      </c>
      <c r="AO84" s="36">
        <f>H84*0.534394236714067</f>
        <v>0</v>
      </c>
      <c r="AP84" s="36">
        <f>H84*(1-0.534394236714067)</f>
        <v>0</v>
      </c>
      <c r="AQ84" s="37" t="s">
        <v>7</v>
      </c>
      <c r="AV84" s="36">
        <f>AW84+AX84</f>
        <v>0</v>
      </c>
      <c r="AW84" s="36">
        <f>G84*AO84</f>
        <v>0</v>
      </c>
      <c r="AX84" s="36">
        <f>G84*AP84</f>
        <v>0</v>
      </c>
      <c r="AY84" s="39" t="s">
        <v>696</v>
      </c>
      <c r="AZ84" s="39" t="s">
        <v>721</v>
      </c>
      <c r="BA84" s="34" t="s">
        <v>735</v>
      </c>
      <c r="BC84" s="36">
        <f>AW84+AX84</f>
        <v>0</v>
      </c>
      <c r="BD84" s="36">
        <f>H84/(100-BE84)*100</f>
        <v>0</v>
      </c>
      <c r="BE84" s="36">
        <v>0</v>
      </c>
      <c r="BF84" s="36">
        <f>O84</f>
        <v>0.33696</v>
      </c>
      <c r="BH84" s="24">
        <f>G84*AO84</f>
        <v>0</v>
      </c>
      <c r="BI84" s="24">
        <f>G84*AP84</f>
        <v>0</v>
      </c>
      <c r="BJ84" s="24">
        <f>G84*H84</f>
        <v>0</v>
      </c>
      <c r="BK84" s="24" t="s">
        <v>740</v>
      </c>
      <c r="BL84" s="36">
        <v>56</v>
      </c>
    </row>
    <row r="85" spans="1:16" ht="12.75">
      <c r="A85" s="100"/>
      <c r="B85" s="101"/>
      <c r="C85" s="92" t="s">
        <v>8</v>
      </c>
      <c r="E85" s="102" t="s">
        <v>590</v>
      </c>
      <c r="F85" s="101"/>
      <c r="G85" s="103">
        <v>2</v>
      </c>
      <c r="H85" s="101"/>
      <c r="I85" s="101"/>
      <c r="J85" s="101"/>
      <c r="K85" s="101"/>
      <c r="L85" s="101"/>
      <c r="M85" s="89"/>
      <c r="N85" s="104"/>
      <c r="O85" s="86"/>
      <c r="P85" s="85"/>
    </row>
    <row r="86" spans="1:64" ht="12.75">
      <c r="A86" s="88" t="s">
        <v>26</v>
      </c>
      <c r="B86" s="88" t="s">
        <v>160</v>
      </c>
      <c r="C86" s="156" t="s">
        <v>328</v>
      </c>
      <c r="D86" s="157"/>
      <c r="E86" s="158"/>
      <c r="F86" s="88" t="s">
        <v>653</v>
      </c>
      <c r="G86" s="96">
        <v>37</v>
      </c>
      <c r="H86" s="96">
        <v>0</v>
      </c>
      <c r="I86" s="96">
        <f>G86*AO86</f>
        <v>0</v>
      </c>
      <c r="J86" s="96">
        <f>G86*AP86</f>
        <v>0</v>
      </c>
      <c r="K86" s="96">
        <f>G86*H86</f>
        <v>0</v>
      </c>
      <c r="L86" s="96">
        <v>0.11</v>
      </c>
      <c r="M86" s="81">
        <v>0</v>
      </c>
      <c r="N86" s="98">
        <v>0.11</v>
      </c>
      <c r="O86" s="81">
        <f>G86*N86</f>
        <v>4.07</v>
      </c>
      <c r="P86" s="85"/>
      <c r="Z86" s="36">
        <f>IF(AQ86="5",BJ86,0)</f>
        <v>0</v>
      </c>
      <c r="AB86" s="36">
        <f>IF(AQ86="1",BH86,0)</f>
        <v>0</v>
      </c>
      <c r="AC86" s="36">
        <f>IF(AQ86="1",BI86,0)</f>
        <v>0</v>
      </c>
      <c r="AD86" s="36">
        <f>IF(AQ86="7",BH86,0)</f>
        <v>0</v>
      </c>
      <c r="AE86" s="36">
        <f>IF(AQ86="7",BI86,0)</f>
        <v>0</v>
      </c>
      <c r="AF86" s="36">
        <f>IF(AQ86="2",BH86,0)</f>
        <v>0</v>
      </c>
      <c r="AG86" s="36">
        <f>IF(AQ86="2",BI86,0)</f>
        <v>0</v>
      </c>
      <c r="AH86" s="36">
        <f>IF(AQ86="0",BJ86,0)</f>
        <v>0</v>
      </c>
      <c r="AI86" s="34" t="s">
        <v>691</v>
      </c>
      <c r="AJ86" s="24">
        <f>IF(AN86=0,K86,0)</f>
        <v>0</v>
      </c>
      <c r="AK86" s="24">
        <f>IF(AN86=15,K86,0)</f>
        <v>0</v>
      </c>
      <c r="AL86" s="24">
        <f>IF(AN86=21,K86,0)</f>
        <v>0</v>
      </c>
      <c r="AN86" s="36">
        <v>21</v>
      </c>
      <c r="AO86" s="36">
        <f>H86*0.0658896797153025</f>
        <v>0</v>
      </c>
      <c r="AP86" s="36">
        <f>H86*(1-0.0658896797153025)</f>
        <v>0</v>
      </c>
      <c r="AQ86" s="37" t="s">
        <v>7</v>
      </c>
      <c r="AV86" s="36">
        <f>AW86+AX86</f>
        <v>0</v>
      </c>
      <c r="AW86" s="36">
        <f>G86*AO86</f>
        <v>0</v>
      </c>
      <c r="AX86" s="36">
        <f>G86*AP86</f>
        <v>0</v>
      </c>
      <c r="AY86" s="39" t="s">
        <v>696</v>
      </c>
      <c r="AZ86" s="39" t="s">
        <v>721</v>
      </c>
      <c r="BA86" s="34" t="s">
        <v>735</v>
      </c>
      <c r="BC86" s="36">
        <f>AW86+AX86</f>
        <v>0</v>
      </c>
      <c r="BD86" s="36">
        <f>H86/(100-BE86)*100</f>
        <v>0</v>
      </c>
      <c r="BE86" s="36">
        <v>0</v>
      </c>
      <c r="BF86" s="36">
        <f>O86</f>
        <v>4.07</v>
      </c>
      <c r="BH86" s="24">
        <f>G86*AO86</f>
        <v>0</v>
      </c>
      <c r="BI86" s="24">
        <f>G86*AP86</f>
        <v>0</v>
      </c>
      <c r="BJ86" s="24">
        <f>G86*H86</f>
        <v>0</v>
      </c>
      <c r="BK86" s="24" t="s">
        <v>740</v>
      </c>
      <c r="BL86" s="36">
        <v>56</v>
      </c>
    </row>
    <row r="87" spans="1:16" ht="12.75">
      <c r="A87" s="100"/>
      <c r="B87" s="101"/>
      <c r="C87" s="92" t="s">
        <v>283</v>
      </c>
      <c r="E87" s="102" t="s">
        <v>571</v>
      </c>
      <c r="F87" s="101"/>
      <c r="G87" s="103">
        <v>37</v>
      </c>
      <c r="H87" s="101"/>
      <c r="I87" s="101"/>
      <c r="J87" s="101"/>
      <c r="K87" s="101"/>
      <c r="L87" s="101"/>
      <c r="M87" s="89"/>
      <c r="N87" s="104"/>
      <c r="O87" s="86"/>
      <c r="P87" s="85"/>
    </row>
    <row r="88" spans="1:64" ht="12.75">
      <c r="A88" s="106" t="s">
        <v>27</v>
      </c>
      <c r="B88" s="106" t="s">
        <v>161</v>
      </c>
      <c r="C88" s="171" t="s">
        <v>329</v>
      </c>
      <c r="D88" s="172"/>
      <c r="E88" s="173"/>
      <c r="F88" s="106" t="s">
        <v>656</v>
      </c>
      <c r="G88" s="107">
        <v>0.5</v>
      </c>
      <c r="H88" s="107">
        <v>0</v>
      </c>
      <c r="I88" s="107">
        <f>G88*AO88</f>
        <v>0</v>
      </c>
      <c r="J88" s="107">
        <f>G88*AP88</f>
        <v>0</v>
      </c>
      <c r="K88" s="107">
        <f>G88*H88</f>
        <v>0</v>
      </c>
      <c r="L88" s="107">
        <v>1</v>
      </c>
      <c r="M88" s="105">
        <v>0</v>
      </c>
      <c r="N88" s="108">
        <v>1</v>
      </c>
      <c r="O88" s="105">
        <f>G88*N88</f>
        <v>0.5</v>
      </c>
      <c r="P88" s="85"/>
      <c r="Z88" s="36">
        <f>IF(AQ88="5",BJ88,0)</f>
        <v>0</v>
      </c>
      <c r="AB88" s="36">
        <f>IF(AQ88="1",BH88,0)</f>
        <v>0</v>
      </c>
      <c r="AC88" s="36">
        <f>IF(AQ88="1",BI88,0)</f>
        <v>0</v>
      </c>
      <c r="AD88" s="36">
        <f>IF(AQ88="7",BH88,0)</f>
        <v>0</v>
      </c>
      <c r="AE88" s="36">
        <f>IF(AQ88="7",BI88,0)</f>
        <v>0</v>
      </c>
      <c r="AF88" s="36">
        <f>IF(AQ88="2",BH88,0)</f>
        <v>0</v>
      </c>
      <c r="AG88" s="36">
        <f>IF(AQ88="2",BI88,0)</f>
        <v>0</v>
      </c>
      <c r="AH88" s="36">
        <f>IF(AQ88="0",BJ88,0)</f>
        <v>0</v>
      </c>
      <c r="AI88" s="34" t="s">
        <v>691</v>
      </c>
      <c r="AJ88" s="26">
        <f>IF(AN88=0,K88,0)</f>
        <v>0</v>
      </c>
      <c r="AK88" s="26">
        <f>IF(AN88=15,K88,0)</f>
        <v>0</v>
      </c>
      <c r="AL88" s="26">
        <f>IF(AN88=21,K88,0)</f>
        <v>0</v>
      </c>
      <c r="AN88" s="36">
        <v>21</v>
      </c>
      <c r="AO88" s="36">
        <f>H88*1</f>
        <v>0</v>
      </c>
      <c r="AP88" s="36">
        <f>H88*(1-1)</f>
        <v>0</v>
      </c>
      <c r="AQ88" s="38" t="s">
        <v>7</v>
      </c>
      <c r="AV88" s="36">
        <f>AW88+AX88</f>
        <v>0</v>
      </c>
      <c r="AW88" s="36">
        <f>G88*AO88</f>
        <v>0</v>
      </c>
      <c r="AX88" s="36">
        <f>G88*AP88</f>
        <v>0</v>
      </c>
      <c r="AY88" s="39" t="s">
        <v>696</v>
      </c>
      <c r="AZ88" s="39" t="s">
        <v>721</v>
      </c>
      <c r="BA88" s="34" t="s">
        <v>735</v>
      </c>
      <c r="BC88" s="36">
        <f>AW88+AX88</f>
        <v>0</v>
      </c>
      <c r="BD88" s="36">
        <f>H88/(100-BE88)*100</f>
        <v>0</v>
      </c>
      <c r="BE88" s="36">
        <v>0</v>
      </c>
      <c r="BF88" s="36">
        <f>O88</f>
        <v>0.5</v>
      </c>
      <c r="BH88" s="26">
        <f>G88*AO88</f>
        <v>0</v>
      </c>
      <c r="BI88" s="26">
        <f>G88*AP88</f>
        <v>0</v>
      </c>
      <c r="BJ88" s="26">
        <f>G88*H88</f>
        <v>0</v>
      </c>
      <c r="BK88" s="26" t="s">
        <v>741</v>
      </c>
      <c r="BL88" s="36">
        <v>56</v>
      </c>
    </row>
    <row r="89" spans="1:16" ht="12.75">
      <c r="A89" s="100"/>
      <c r="B89" s="101"/>
      <c r="C89" s="92" t="s">
        <v>330</v>
      </c>
      <c r="E89" s="102" t="s">
        <v>591</v>
      </c>
      <c r="F89" s="101"/>
      <c r="G89" s="103">
        <v>0.5</v>
      </c>
      <c r="H89" s="101"/>
      <c r="I89" s="101"/>
      <c r="J89" s="101"/>
      <c r="K89" s="101"/>
      <c r="L89" s="101"/>
      <c r="M89" s="89"/>
      <c r="N89" s="104"/>
      <c r="O89" s="86"/>
      <c r="P89" s="85"/>
    </row>
    <row r="90" spans="1:64" ht="12.75">
      <c r="A90" s="88" t="s">
        <v>28</v>
      </c>
      <c r="B90" s="88" t="s">
        <v>162</v>
      </c>
      <c r="C90" s="156" t="s">
        <v>331</v>
      </c>
      <c r="D90" s="157"/>
      <c r="E90" s="158"/>
      <c r="F90" s="88" t="s">
        <v>654</v>
      </c>
      <c r="G90" s="96">
        <v>4.5</v>
      </c>
      <c r="H90" s="96">
        <v>0</v>
      </c>
      <c r="I90" s="96">
        <f>G90*AO90</f>
        <v>0</v>
      </c>
      <c r="J90" s="96">
        <f>G90*AP90</f>
        <v>0</v>
      </c>
      <c r="K90" s="96">
        <f>G90*H90</f>
        <v>0</v>
      </c>
      <c r="L90" s="96">
        <v>0.188</v>
      </c>
      <c r="M90" s="81">
        <v>0</v>
      </c>
      <c r="N90" s="98">
        <v>0.188</v>
      </c>
      <c r="O90" s="81">
        <f>G90*N90</f>
        <v>0.846</v>
      </c>
      <c r="P90" s="85"/>
      <c r="Z90" s="36">
        <f>IF(AQ90="5",BJ90,0)</f>
        <v>0</v>
      </c>
      <c r="AB90" s="36">
        <f>IF(AQ90="1",BH90,0)</f>
        <v>0</v>
      </c>
      <c r="AC90" s="36">
        <f>IF(AQ90="1",BI90,0)</f>
        <v>0</v>
      </c>
      <c r="AD90" s="36">
        <f>IF(AQ90="7",BH90,0)</f>
        <v>0</v>
      </c>
      <c r="AE90" s="36">
        <f>IF(AQ90="7",BI90,0)</f>
        <v>0</v>
      </c>
      <c r="AF90" s="36">
        <f>IF(AQ90="2",BH90,0)</f>
        <v>0</v>
      </c>
      <c r="AG90" s="36">
        <f>IF(AQ90="2",BI90,0)</f>
        <v>0</v>
      </c>
      <c r="AH90" s="36">
        <f>IF(AQ90="0",BJ90,0)</f>
        <v>0</v>
      </c>
      <c r="AI90" s="34" t="s">
        <v>691</v>
      </c>
      <c r="AJ90" s="24">
        <f>IF(AN90=0,K90,0)</f>
        <v>0</v>
      </c>
      <c r="AK90" s="24">
        <f>IF(AN90=15,K90,0)</f>
        <v>0</v>
      </c>
      <c r="AL90" s="24">
        <f>IF(AN90=21,K90,0)</f>
        <v>0</v>
      </c>
      <c r="AN90" s="36">
        <v>21</v>
      </c>
      <c r="AO90" s="36">
        <f>H90*0.567272727272727</f>
        <v>0</v>
      </c>
      <c r="AP90" s="36">
        <f>H90*(1-0.567272727272727)</f>
        <v>0</v>
      </c>
      <c r="AQ90" s="37" t="s">
        <v>7</v>
      </c>
      <c r="AV90" s="36">
        <f>AW90+AX90</f>
        <v>0</v>
      </c>
      <c r="AW90" s="36">
        <f>G90*AO90</f>
        <v>0</v>
      </c>
      <c r="AX90" s="36">
        <f>G90*AP90</f>
        <v>0</v>
      </c>
      <c r="AY90" s="39" t="s">
        <v>696</v>
      </c>
      <c r="AZ90" s="39" t="s">
        <v>721</v>
      </c>
      <c r="BA90" s="34" t="s">
        <v>735</v>
      </c>
      <c r="BC90" s="36">
        <f>AW90+AX90</f>
        <v>0</v>
      </c>
      <c r="BD90" s="36">
        <f>H90/(100-BE90)*100</f>
        <v>0</v>
      </c>
      <c r="BE90" s="36">
        <v>0</v>
      </c>
      <c r="BF90" s="36">
        <f>O90</f>
        <v>0.846</v>
      </c>
      <c r="BH90" s="24">
        <f>G90*AO90</f>
        <v>0</v>
      </c>
      <c r="BI90" s="24">
        <f>G90*AP90</f>
        <v>0</v>
      </c>
      <c r="BJ90" s="24">
        <f>G90*H90</f>
        <v>0</v>
      </c>
      <c r="BK90" s="24" t="s">
        <v>740</v>
      </c>
      <c r="BL90" s="36">
        <v>56</v>
      </c>
    </row>
    <row r="91" spans="1:16" ht="12.75">
      <c r="A91" s="100"/>
      <c r="B91" s="101"/>
      <c r="C91" s="92" t="s">
        <v>286</v>
      </c>
      <c r="E91" s="102" t="s">
        <v>572</v>
      </c>
      <c r="F91" s="101"/>
      <c r="G91" s="103">
        <v>4.5</v>
      </c>
      <c r="H91" s="101"/>
      <c r="I91" s="101"/>
      <c r="J91" s="101"/>
      <c r="K91" s="101"/>
      <c r="L91" s="101"/>
      <c r="M91" s="89"/>
      <c r="N91" s="104"/>
      <c r="O91" s="86"/>
      <c r="P91" s="85"/>
    </row>
    <row r="92" spans="1:64" ht="12.75">
      <c r="A92" s="88" t="s">
        <v>29</v>
      </c>
      <c r="B92" s="88" t="s">
        <v>163</v>
      </c>
      <c r="C92" s="156" t="s">
        <v>332</v>
      </c>
      <c r="D92" s="157"/>
      <c r="E92" s="158"/>
      <c r="F92" s="88" t="s">
        <v>655</v>
      </c>
      <c r="G92" s="96">
        <v>84.16</v>
      </c>
      <c r="H92" s="96">
        <v>0</v>
      </c>
      <c r="I92" s="96">
        <f>G92*AO92</f>
        <v>0</v>
      </c>
      <c r="J92" s="96">
        <f>G92*AP92</f>
        <v>0</v>
      </c>
      <c r="K92" s="96">
        <f>G92*H92</f>
        <v>0</v>
      </c>
      <c r="L92" s="96">
        <v>0</v>
      </c>
      <c r="M92" s="81">
        <v>0</v>
      </c>
      <c r="N92" s="98">
        <v>0</v>
      </c>
      <c r="O92" s="81">
        <f>G92*N92</f>
        <v>0</v>
      </c>
      <c r="P92" s="85"/>
      <c r="Z92" s="36">
        <f>IF(AQ92="5",BJ92,0)</f>
        <v>0</v>
      </c>
      <c r="AB92" s="36">
        <f>IF(AQ92="1",BH92,0)</f>
        <v>0</v>
      </c>
      <c r="AC92" s="36">
        <f>IF(AQ92="1",BI92,0)</f>
        <v>0</v>
      </c>
      <c r="AD92" s="36">
        <f>IF(AQ92="7",BH92,0)</f>
        <v>0</v>
      </c>
      <c r="AE92" s="36">
        <f>IF(AQ92="7",BI92,0)</f>
        <v>0</v>
      </c>
      <c r="AF92" s="36">
        <f>IF(AQ92="2",BH92,0)</f>
        <v>0</v>
      </c>
      <c r="AG92" s="36">
        <f>IF(AQ92="2",BI92,0)</f>
        <v>0</v>
      </c>
      <c r="AH92" s="36">
        <f>IF(AQ92="0",BJ92,0)</f>
        <v>0</v>
      </c>
      <c r="AI92" s="34" t="s">
        <v>691</v>
      </c>
      <c r="AJ92" s="24">
        <f>IF(AN92=0,K92,0)</f>
        <v>0</v>
      </c>
      <c r="AK92" s="24">
        <f>IF(AN92=15,K92,0)</f>
        <v>0</v>
      </c>
      <c r="AL92" s="24">
        <f>IF(AN92=21,K92,0)</f>
        <v>0</v>
      </c>
      <c r="AN92" s="36">
        <v>21</v>
      </c>
      <c r="AO92" s="36">
        <f>H92*0</f>
        <v>0</v>
      </c>
      <c r="AP92" s="36">
        <f>H92*(1-0)</f>
        <v>0</v>
      </c>
      <c r="AQ92" s="37" t="s">
        <v>7</v>
      </c>
      <c r="AV92" s="36">
        <f>AW92+AX92</f>
        <v>0</v>
      </c>
      <c r="AW92" s="36">
        <f>G92*AO92</f>
        <v>0</v>
      </c>
      <c r="AX92" s="36">
        <f>G92*AP92</f>
        <v>0</v>
      </c>
      <c r="AY92" s="39" t="s">
        <v>696</v>
      </c>
      <c r="AZ92" s="39" t="s">
        <v>721</v>
      </c>
      <c r="BA92" s="34" t="s">
        <v>735</v>
      </c>
      <c r="BC92" s="36">
        <f>AW92+AX92</f>
        <v>0</v>
      </c>
      <c r="BD92" s="36">
        <f>H92/(100-BE92)*100</f>
        <v>0</v>
      </c>
      <c r="BE92" s="36">
        <v>0</v>
      </c>
      <c r="BF92" s="36">
        <f>O92</f>
        <v>0</v>
      </c>
      <c r="BH92" s="24">
        <f>G92*AO92</f>
        <v>0</v>
      </c>
      <c r="BI92" s="24">
        <f>G92*AP92</f>
        <v>0</v>
      </c>
      <c r="BJ92" s="24">
        <f>G92*H92</f>
        <v>0</v>
      </c>
      <c r="BK92" s="24" t="s">
        <v>740</v>
      </c>
      <c r="BL92" s="36">
        <v>56</v>
      </c>
    </row>
    <row r="93" spans="1:16" ht="12.75">
      <c r="A93" s="100"/>
      <c r="B93" s="101"/>
      <c r="C93" s="92" t="s">
        <v>289</v>
      </c>
      <c r="E93" s="102" t="s">
        <v>573</v>
      </c>
      <c r="F93" s="101"/>
      <c r="G93" s="103">
        <v>17.92</v>
      </c>
      <c r="H93" s="101"/>
      <c r="I93" s="101"/>
      <c r="J93" s="101"/>
      <c r="K93" s="101"/>
      <c r="L93" s="101"/>
      <c r="M93" s="89"/>
      <c r="N93" s="104"/>
      <c r="O93" s="86"/>
      <c r="P93" s="85"/>
    </row>
    <row r="94" spans="1:16" ht="12.75">
      <c r="A94" s="100"/>
      <c r="B94" s="101"/>
      <c r="C94" s="92" t="s">
        <v>290</v>
      </c>
      <c r="E94" s="102" t="s">
        <v>574</v>
      </c>
      <c r="F94" s="101"/>
      <c r="G94" s="103">
        <v>8</v>
      </c>
      <c r="H94" s="101"/>
      <c r="I94" s="101"/>
      <c r="J94" s="101"/>
      <c r="K94" s="101"/>
      <c r="L94" s="101"/>
      <c r="M94" s="89"/>
      <c r="N94" s="104"/>
      <c r="O94" s="86"/>
      <c r="P94" s="85"/>
    </row>
    <row r="95" spans="1:16" ht="12.75">
      <c r="A95" s="100"/>
      <c r="B95" s="101"/>
      <c r="C95" s="92" t="s">
        <v>291</v>
      </c>
      <c r="E95" s="102" t="s">
        <v>575</v>
      </c>
      <c r="F95" s="101"/>
      <c r="G95" s="103">
        <v>5.04</v>
      </c>
      <c r="H95" s="101"/>
      <c r="I95" s="101"/>
      <c r="J95" s="101"/>
      <c r="K95" s="101"/>
      <c r="L95" s="101"/>
      <c r="M95" s="89"/>
      <c r="N95" s="104"/>
      <c r="O95" s="86"/>
      <c r="P95" s="85"/>
    </row>
    <row r="96" spans="1:16" ht="12.75">
      <c r="A96" s="100"/>
      <c r="B96" s="101"/>
      <c r="C96" s="92" t="s">
        <v>293</v>
      </c>
      <c r="E96" s="102" t="s">
        <v>577</v>
      </c>
      <c r="F96" s="101"/>
      <c r="G96" s="103">
        <v>6</v>
      </c>
      <c r="H96" s="101"/>
      <c r="I96" s="101"/>
      <c r="J96" s="101"/>
      <c r="K96" s="101"/>
      <c r="L96" s="101"/>
      <c r="M96" s="89"/>
      <c r="N96" s="104"/>
      <c r="O96" s="86"/>
      <c r="P96" s="85"/>
    </row>
    <row r="97" spans="1:16" ht="12.75">
      <c r="A97" s="100"/>
      <c r="B97" s="101"/>
      <c r="C97" s="92" t="s">
        <v>294</v>
      </c>
      <c r="E97" s="102" t="s">
        <v>578</v>
      </c>
      <c r="F97" s="101"/>
      <c r="G97" s="103">
        <v>10.4</v>
      </c>
      <c r="H97" s="101"/>
      <c r="I97" s="101"/>
      <c r="J97" s="101"/>
      <c r="K97" s="101"/>
      <c r="L97" s="101"/>
      <c r="M97" s="89"/>
      <c r="N97" s="104"/>
      <c r="O97" s="86"/>
      <c r="P97" s="85"/>
    </row>
    <row r="98" spans="1:16" ht="12.75">
      <c r="A98" s="100"/>
      <c r="B98" s="101"/>
      <c r="C98" s="92" t="s">
        <v>295</v>
      </c>
      <c r="E98" s="102" t="s">
        <v>579</v>
      </c>
      <c r="F98" s="101"/>
      <c r="G98" s="103">
        <v>4.8</v>
      </c>
      <c r="H98" s="101"/>
      <c r="I98" s="101"/>
      <c r="J98" s="101"/>
      <c r="K98" s="101"/>
      <c r="L98" s="101"/>
      <c r="M98" s="89"/>
      <c r="N98" s="104"/>
      <c r="O98" s="86"/>
      <c r="P98" s="85"/>
    </row>
    <row r="99" spans="1:16" ht="12.75">
      <c r="A99" s="100"/>
      <c r="B99" s="101"/>
      <c r="C99" s="92" t="s">
        <v>296</v>
      </c>
      <c r="E99" s="102" t="s">
        <v>580</v>
      </c>
      <c r="F99" s="101"/>
      <c r="G99" s="103">
        <v>25.2</v>
      </c>
      <c r="H99" s="101"/>
      <c r="I99" s="101"/>
      <c r="J99" s="101"/>
      <c r="K99" s="101"/>
      <c r="L99" s="101"/>
      <c r="M99" s="89"/>
      <c r="N99" s="104"/>
      <c r="O99" s="86"/>
      <c r="P99" s="85"/>
    </row>
    <row r="100" spans="1:16" ht="12.75">
      <c r="A100" s="100"/>
      <c r="B100" s="101"/>
      <c r="C100" s="92" t="s">
        <v>297</v>
      </c>
      <c r="E100" s="102" t="s">
        <v>581</v>
      </c>
      <c r="F100" s="101"/>
      <c r="G100" s="103">
        <v>4.8</v>
      </c>
      <c r="H100" s="101"/>
      <c r="I100" s="101"/>
      <c r="J100" s="101"/>
      <c r="K100" s="101"/>
      <c r="L100" s="101"/>
      <c r="M100" s="89"/>
      <c r="N100" s="104"/>
      <c r="O100" s="86"/>
      <c r="P100" s="85"/>
    </row>
    <row r="101" spans="1:16" ht="12.75">
      <c r="A101" s="100"/>
      <c r="B101" s="101"/>
      <c r="C101" s="92" t="s">
        <v>298</v>
      </c>
      <c r="E101" s="102" t="s">
        <v>582</v>
      </c>
      <c r="F101" s="101"/>
      <c r="G101" s="103">
        <v>2</v>
      </c>
      <c r="H101" s="101"/>
      <c r="I101" s="101"/>
      <c r="J101" s="101"/>
      <c r="K101" s="101"/>
      <c r="L101" s="101"/>
      <c r="M101" s="89"/>
      <c r="N101" s="104"/>
      <c r="O101" s="86"/>
      <c r="P101" s="85"/>
    </row>
    <row r="102" spans="1:64" ht="12.75">
      <c r="A102" s="88" t="s">
        <v>30</v>
      </c>
      <c r="B102" s="88" t="s">
        <v>164</v>
      </c>
      <c r="C102" s="156" t="s">
        <v>333</v>
      </c>
      <c r="D102" s="157"/>
      <c r="E102" s="158"/>
      <c r="F102" s="88" t="s">
        <v>655</v>
      </c>
      <c r="G102" s="96">
        <v>5.915</v>
      </c>
      <c r="H102" s="96">
        <v>0</v>
      </c>
      <c r="I102" s="96">
        <f>G102*AO102</f>
        <v>0</v>
      </c>
      <c r="J102" s="96">
        <f>G102*AP102</f>
        <v>0</v>
      </c>
      <c r="K102" s="96">
        <f>G102*H102</f>
        <v>0</v>
      </c>
      <c r="L102" s="96">
        <v>0</v>
      </c>
      <c r="M102" s="81">
        <v>0</v>
      </c>
      <c r="N102" s="98">
        <v>0</v>
      </c>
      <c r="O102" s="81">
        <f>G102*N102</f>
        <v>0</v>
      </c>
      <c r="P102" s="85"/>
      <c r="Z102" s="36">
        <f>IF(AQ102="5",BJ102,0)</f>
        <v>0</v>
      </c>
      <c r="AB102" s="36">
        <f>IF(AQ102="1",BH102,0)</f>
        <v>0</v>
      </c>
      <c r="AC102" s="36">
        <f>IF(AQ102="1",BI102,0)</f>
        <v>0</v>
      </c>
      <c r="AD102" s="36">
        <f>IF(AQ102="7",BH102,0)</f>
        <v>0</v>
      </c>
      <c r="AE102" s="36">
        <f>IF(AQ102="7",BI102,0)</f>
        <v>0</v>
      </c>
      <c r="AF102" s="36">
        <f>IF(AQ102="2",BH102,0)</f>
        <v>0</v>
      </c>
      <c r="AG102" s="36">
        <f>IF(AQ102="2",BI102,0)</f>
        <v>0</v>
      </c>
      <c r="AH102" s="36">
        <f>IF(AQ102="0",BJ102,0)</f>
        <v>0</v>
      </c>
      <c r="AI102" s="34" t="s">
        <v>691</v>
      </c>
      <c r="AJ102" s="24">
        <f>IF(AN102=0,K102,0)</f>
        <v>0</v>
      </c>
      <c r="AK102" s="24">
        <f>IF(AN102=15,K102,0)</f>
        <v>0</v>
      </c>
      <c r="AL102" s="24">
        <f>IF(AN102=21,K102,0)</f>
        <v>0</v>
      </c>
      <c r="AN102" s="36">
        <v>21</v>
      </c>
      <c r="AO102" s="36">
        <f>H102*0</f>
        <v>0</v>
      </c>
      <c r="AP102" s="36">
        <f>H102*(1-0)</f>
        <v>0</v>
      </c>
      <c r="AQ102" s="37" t="s">
        <v>7</v>
      </c>
      <c r="AV102" s="36">
        <f>AW102+AX102</f>
        <v>0</v>
      </c>
      <c r="AW102" s="36">
        <f>G102*AO102</f>
        <v>0</v>
      </c>
      <c r="AX102" s="36">
        <f>G102*AP102</f>
        <v>0</v>
      </c>
      <c r="AY102" s="39" t="s">
        <v>696</v>
      </c>
      <c r="AZ102" s="39" t="s">
        <v>721</v>
      </c>
      <c r="BA102" s="34" t="s">
        <v>735</v>
      </c>
      <c r="BC102" s="36">
        <f>AW102+AX102</f>
        <v>0</v>
      </c>
      <c r="BD102" s="36">
        <f>H102/(100-BE102)*100</f>
        <v>0</v>
      </c>
      <c r="BE102" s="36">
        <v>0</v>
      </c>
      <c r="BF102" s="36">
        <f>O102</f>
        <v>0</v>
      </c>
      <c r="BH102" s="24">
        <f>G102*AO102</f>
        <v>0</v>
      </c>
      <c r="BI102" s="24">
        <f>G102*AP102</f>
        <v>0</v>
      </c>
      <c r="BJ102" s="24">
        <f>G102*H102</f>
        <v>0</v>
      </c>
      <c r="BK102" s="24" t="s">
        <v>740</v>
      </c>
      <c r="BL102" s="36">
        <v>56</v>
      </c>
    </row>
    <row r="103" spans="1:16" ht="12.75">
      <c r="A103" s="100"/>
      <c r="B103" s="101"/>
      <c r="C103" s="92" t="s">
        <v>292</v>
      </c>
      <c r="E103" s="102" t="s">
        <v>576</v>
      </c>
      <c r="F103" s="101"/>
      <c r="G103" s="103">
        <v>5.915</v>
      </c>
      <c r="H103" s="101"/>
      <c r="I103" s="101"/>
      <c r="J103" s="101"/>
      <c r="K103" s="101"/>
      <c r="L103" s="101"/>
      <c r="M103" s="89"/>
      <c r="N103" s="104"/>
      <c r="O103" s="86"/>
      <c r="P103" s="85"/>
    </row>
    <row r="104" spans="1:64" ht="12.75">
      <c r="A104" s="106" t="s">
        <v>31</v>
      </c>
      <c r="B104" s="106" t="s">
        <v>165</v>
      </c>
      <c r="C104" s="171" t="s">
        <v>334</v>
      </c>
      <c r="D104" s="172"/>
      <c r="E104" s="173"/>
      <c r="F104" s="106" t="s">
        <v>656</v>
      </c>
      <c r="G104" s="107">
        <v>71.983</v>
      </c>
      <c r="H104" s="107">
        <v>0</v>
      </c>
      <c r="I104" s="107">
        <f>G104*AO104</f>
        <v>0</v>
      </c>
      <c r="J104" s="107">
        <f>G104*AP104</f>
        <v>0</v>
      </c>
      <c r="K104" s="107">
        <f>G104*H104</f>
        <v>0</v>
      </c>
      <c r="L104" s="107">
        <v>1</v>
      </c>
      <c r="M104" s="105">
        <v>0</v>
      </c>
      <c r="N104" s="108">
        <v>1</v>
      </c>
      <c r="O104" s="105">
        <f>G104*N104</f>
        <v>71.983</v>
      </c>
      <c r="P104" s="85"/>
      <c r="Z104" s="36">
        <f>IF(AQ104="5",BJ104,0)</f>
        <v>0</v>
      </c>
      <c r="AB104" s="36">
        <f>IF(AQ104="1",BH104,0)</f>
        <v>0</v>
      </c>
      <c r="AC104" s="36">
        <f>IF(AQ104="1",BI104,0)</f>
        <v>0</v>
      </c>
      <c r="AD104" s="36">
        <f>IF(AQ104="7",BH104,0)</f>
        <v>0</v>
      </c>
      <c r="AE104" s="36">
        <f>IF(AQ104="7",BI104,0)</f>
        <v>0</v>
      </c>
      <c r="AF104" s="36">
        <f>IF(AQ104="2",BH104,0)</f>
        <v>0</v>
      </c>
      <c r="AG104" s="36">
        <f>IF(AQ104="2",BI104,0)</f>
        <v>0</v>
      </c>
      <c r="AH104" s="36">
        <f>IF(AQ104="0",BJ104,0)</f>
        <v>0</v>
      </c>
      <c r="AI104" s="34" t="s">
        <v>691</v>
      </c>
      <c r="AJ104" s="26">
        <f>IF(AN104=0,K104,0)</f>
        <v>0</v>
      </c>
      <c r="AK104" s="26">
        <f>IF(AN104=15,K104,0)</f>
        <v>0</v>
      </c>
      <c r="AL104" s="26">
        <f>IF(AN104=21,K104,0)</f>
        <v>0</v>
      </c>
      <c r="AN104" s="36">
        <v>21</v>
      </c>
      <c r="AO104" s="36">
        <f>H104*1</f>
        <v>0</v>
      </c>
      <c r="AP104" s="36">
        <f>H104*(1-1)</f>
        <v>0</v>
      </c>
      <c r="AQ104" s="38" t="s">
        <v>7</v>
      </c>
      <c r="AV104" s="36">
        <f>AW104+AX104</f>
        <v>0</v>
      </c>
      <c r="AW104" s="36">
        <f>G104*AO104</f>
        <v>0</v>
      </c>
      <c r="AX104" s="36">
        <f>G104*AP104</f>
        <v>0</v>
      </c>
      <c r="AY104" s="39" t="s">
        <v>696</v>
      </c>
      <c r="AZ104" s="39" t="s">
        <v>721</v>
      </c>
      <c r="BA104" s="34" t="s">
        <v>735</v>
      </c>
      <c r="BC104" s="36">
        <f>AW104+AX104</f>
        <v>0</v>
      </c>
      <c r="BD104" s="36">
        <f>H104/(100-BE104)*100</f>
        <v>0</v>
      </c>
      <c r="BE104" s="36">
        <v>0</v>
      </c>
      <c r="BF104" s="36">
        <f>O104</f>
        <v>71.983</v>
      </c>
      <c r="BH104" s="26">
        <f>G104*AO104</f>
        <v>0</v>
      </c>
      <c r="BI104" s="26">
        <f>G104*AP104</f>
        <v>0</v>
      </c>
      <c r="BJ104" s="26">
        <f>G104*H104</f>
        <v>0</v>
      </c>
      <c r="BK104" s="26" t="s">
        <v>741</v>
      </c>
      <c r="BL104" s="36">
        <v>56</v>
      </c>
    </row>
    <row r="105" spans="1:16" ht="12.75">
      <c r="A105" s="100"/>
      <c r="B105" s="101"/>
      <c r="C105" s="92" t="s">
        <v>335</v>
      </c>
      <c r="E105" s="102" t="s">
        <v>573</v>
      </c>
      <c r="F105" s="101"/>
      <c r="G105" s="103">
        <v>32.256</v>
      </c>
      <c r="H105" s="101"/>
      <c r="I105" s="101"/>
      <c r="J105" s="101"/>
      <c r="K105" s="101"/>
      <c r="L105" s="101"/>
      <c r="M105" s="89"/>
      <c r="N105" s="104"/>
      <c r="O105" s="86"/>
      <c r="P105" s="85"/>
    </row>
    <row r="106" spans="1:16" ht="12.75">
      <c r="A106" s="100"/>
      <c r="B106" s="101"/>
      <c r="C106" s="92" t="s">
        <v>336</v>
      </c>
      <c r="E106" s="102" t="s">
        <v>574</v>
      </c>
      <c r="F106" s="101"/>
      <c r="G106" s="103">
        <v>11.2</v>
      </c>
      <c r="H106" s="101"/>
      <c r="I106" s="101"/>
      <c r="J106" s="101"/>
      <c r="K106" s="101"/>
      <c r="L106" s="101"/>
      <c r="M106" s="89"/>
      <c r="N106" s="104"/>
      <c r="O106" s="86"/>
      <c r="P106" s="85"/>
    </row>
    <row r="107" spans="1:16" ht="12.75">
      <c r="A107" s="100"/>
      <c r="B107" s="101"/>
      <c r="C107" s="92" t="s">
        <v>337</v>
      </c>
      <c r="E107" s="102" t="s">
        <v>575</v>
      </c>
      <c r="F107" s="101"/>
      <c r="G107" s="103">
        <v>2.94</v>
      </c>
      <c r="H107" s="101"/>
      <c r="I107" s="101"/>
      <c r="J107" s="101"/>
      <c r="K107" s="101"/>
      <c r="L107" s="101"/>
      <c r="M107" s="89"/>
      <c r="N107" s="104"/>
      <c r="O107" s="86"/>
      <c r="P107" s="85"/>
    </row>
    <row r="108" spans="1:16" ht="12.75">
      <c r="A108" s="100"/>
      <c r="B108" s="101"/>
      <c r="C108" s="92" t="s">
        <v>338</v>
      </c>
      <c r="E108" s="102" t="s">
        <v>586</v>
      </c>
      <c r="F108" s="101"/>
      <c r="G108" s="103">
        <v>10.647</v>
      </c>
      <c r="H108" s="101"/>
      <c r="I108" s="101"/>
      <c r="J108" s="101"/>
      <c r="K108" s="101"/>
      <c r="L108" s="101"/>
      <c r="M108" s="89"/>
      <c r="N108" s="104"/>
      <c r="O108" s="86"/>
      <c r="P108" s="85"/>
    </row>
    <row r="109" spans="1:16" ht="12.75">
      <c r="A109" s="100"/>
      <c r="B109" s="101"/>
      <c r="C109" s="92" t="s">
        <v>339</v>
      </c>
      <c r="E109" s="102" t="s">
        <v>578</v>
      </c>
      <c r="F109" s="101"/>
      <c r="G109" s="103">
        <v>7.02</v>
      </c>
      <c r="H109" s="101"/>
      <c r="I109" s="101"/>
      <c r="J109" s="101"/>
      <c r="K109" s="101"/>
      <c r="L109" s="101"/>
      <c r="M109" s="89"/>
      <c r="N109" s="104"/>
      <c r="O109" s="86"/>
      <c r="P109" s="85"/>
    </row>
    <row r="110" spans="1:16" ht="12.75">
      <c r="A110" s="100"/>
      <c r="B110" s="101"/>
      <c r="C110" s="92" t="s">
        <v>340</v>
      </c>
      <c r="E110" s="102" t="s">
        <v>580</v>
      </c>
      <c r="F110" s="101"/>
      <c r="G110" s="103">
        <v>6.48</v>
      </c>
      <c r="H110" s="101"/>
      <c r="I110" s="101"/>
      <c r="J110" s="101"/>
      <c r="K110" s="101"/>
      <c r="L110" s="101"/>
      <c r="M110" s="89"/>
      <c r="N110" s="104"/>
      <c r="O110" s="86"/>
      <c r="P110" s="85"/>
    </row>
    <row r="111" spans="1:16" ht="12.75">
      <c r="A111" s="91"/>
      <c r="B111" s="94"/>
      <c r="C111" s="93" t="s">
        <v>341</v>
      </c>
      <c r="E111" s="95" t="s">
        <v>582</v>
      </c>
      <c r="F111" s="94"/>
      <c r="G111" s="97">
        <v>1.44</v>
      </c>
      <c r="H111" s="94"/>
      <c r="I111" s="94"/>
      <c r="J111" s="94"/>
      <c r="K111" s="94"/>
      <c r="L111" s="94"/>
      <c r="M111" s="90"/>
      <c r="N111" s="99"/>
      <c r="O111" s="87"/>
      <c r="P111" s="85"/>
    </row>
    <row r="112" spans="1:16" ht="12.75">
      <c r="A112" s="6"/>
      <c r="B112" s="16" t="s">
        <v>137</v>
      </c>
      <c r="C112" s="165" t="s">
        <v>342</v>
      </c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7"/>
      <c r="P112" s="6"/>
    </row>
    <row r="113" spans="1:64" ht="12.75">
      <c r="A113" s="88" t="s">
        <v>32</v>
      </c>
      <c r="B113" s="88" t="s">
        <v>166</v>
      </c>
      <c r="C113" s="156" t="s">
        <v>343</v>
      </c>
      <c r="D113" s="157"/>
      <c r="E113" s="158"/>
      <c r="F113" s="88" t="s">
        <v>656</v>
      </c>
      <c r="G113" s="96">
        <v>72</v>
      </c>
      <c r="H113" s="96">
        <v>0</v>
      </c>
      <c r="I113" s="96">
        <f>G113*AO113</f>
        <v>0</v>
      </c>
      <c r="J113" s="96">
        <f>G113*AP113</f>
        <v>0</v>
      </c>
      <c r="K113" s="96">
        <f>G113*H113</f>
        <v>0</v>
      </c>
      <c r="L113" s="96">
        <v>0</v>
      </c>
      <c r="M113" s="81">
        <v>0</v>
      </c>
      <c r="N113" s="98">
        <v>0</v>
      </c>
      <c r="O113" s="81">
        <f>G113*N113</f>
        <v>0</v>
      </c>
      <c r="P113" s="85"/>
      <c r="Z113" s="36">
        <f>IF(AQ113="5",BJ113,0)</f>
        <v>0</v>
      </c>
      <c r="AB113" s="36">
        <f>IF(AQ113="1",BH113,0)</f>
        <v>0</v>
      </c>
      <c r="AC113" s="36">
        <f>IF(AQ113="1",BI113,0)</f>
        <v>0</v>
      </c>
      <c r="AD113" s="36">
        <f>IF(AQ113="7",BH113,0)</f>
        <v>0</v>
      </c>
      <c r="AE113" s="36">
        <f>IF(AQ113="7",BI113,0)</f>
        <v>0</v>
      </c>
      <c r="AF113" s="36">
        <f>IF(AQ113="2",BH113,0)</f>
        <v>0</v>
      </c>
      <c r="AG113" s="36">
        <f>IF(AQ113="2",BI113,0)</f>
        <v>0</v>
      </c>
      <c r="AH113" s="36">
        <f>IF(AQ113="0",BJ113,0)</f>
        <v>0</v>
      </c>
      <c r="AI113" s="34" t="s">
        <v>691</v>
      </c>
      <c r="AJ113" s="24">
        <f>IF(AN113=0,K113,0)</f>
        <v>0</v>
      </c>
      <c r="AK113" s="24">
        <f>IF(AN113=15,K113,0)</f>
        <v>0</v>
      </c>
      <c r="AL113" s="24">
        <f>IF(AN113=21,K113,0)</f>
        <v>0</v>
      </c>
      <c r="AN113" s="36">
        <v>21</v>
      </c>
      <c r="AO113" s="36">
        <f>H113*0</f>
        <v>0</v>
      </c>
      <c r="AP113" s="36">
        <f>H113*(1-0)</f>
        <v>0</v>
      </c>
      <c r="AQ113" s="37" t="s">
        <v>11</v>
      </c>
      <c r="AV113" s="36">
        <f>AW113+AX113</f>
        <v>0</v>
      </c>
      <c r="AW113" s="36">
        <f>G113*AO113</f>
        <v>0</v>
      </c>
      <c r="AX113" s="36">
        <f>G113*AP113</f>
        <v>0</v>
      </c>
      <c r="AY113" s="39" t="s">
        <v>696</v>
      </c>
      <c r="AZ113" s="39" t="s">
        <v>721</v>
      </c>
      <c r="BA113" s="34" t="s">
        <v>735</v>
      </c>
      <c r="BC113" s="36">
        <f>AW113+AX113</f>
        <v>0</v>
      </c>
      <c r="BD113" s="36">
        <f>H113/(100-BE113)*100</f>
        <v>0</v>
      </c>
      <c r="BE113" s="36">
        <v>0</v>
      </c>
      <c r="BF113" s="36">
        <f>O113</f>
        <v>0</v>
      </c>
      <c r="BH113" s="24">
        <f>G113*AO113</f>
        <v>0</v>
      </c>
      <c r="BI113" s="24">
        <f>G113*AP113</f>
        <v>0</v>
      </c>
      <c r="BJ113" s="24">
        <f>G113*H113</f>
        <v>0</v>
      </c>
      <c r="BK113" s="24" t="s">
        <v>740</v>
      </c>
      <c r="BL113" s="36">
        <v>56</v>
      </c>
    </row>
    <row r="114" spans="1:16" ht="12.75">
      <c r="A114" s="100"/>
      <c r="B114" s="101"/>
      <c r="C114" s="92" t="s">
        <v>78</v>
      </c>
      <c r="E114" s="102" t="s">
        <v>592</v>
      </c>
      <c r="F114" s="101"/>
      <c r="G114" s="103">
        <v>72</v>
      </c>
      <c r="H114" s="101"/>
      <c r="I114" s="101"/>
      <c r="J114" s="101"/>
      <c r="K114" s="101"/>
      <c r="L114" s="101"/>
      <c r="M114" s="89"/>
      <c r="N114" s="104"/>
      <c r="O114" s="86"/>
      <c r="P114" s="85"/>
    </row>
    <row r="115" spans="1:64" ht="12.75">
      <c r="A115" s="88" t="s">
        <v>33</v>
      </c>
      <c r="B115" s="88" t="s">
        <v>167</v>
      </c>
      <c r="C115" s="156" t="s">
        <v>344</v>
      </c>
      <c r="D115" s="157"/>
      <c r="E115" s="158"/>
      <c r="F115" s="88" t="s">
        <v>656</v>
      </c>
      <c r="G115" s="96">
        <v>72</v>
      </c>
      <c r="H115" s="96">
        <v>0</v>
      </c>
      <c r="I115" s="96">
        <f>G115*AO115</f>
        <v>0</v>
      </c>
      <c r="J115" s="96">
        <f>G115*AP115</f>
        <v>0</v>
      </c>
      <c r="K115" s="96">
        <f>G115*H115</f>
        <v>0</v>
      </c>
      <c r="L115" s="96">
        <v>0</v>
      </c>
      <c r="M115" s="81">
        <v>0</v>
      </c>
      <c r="N115" s="98">
        <v>0</v>
      </c>
      <c r="O115" s="81">
        <f>G115*N115</f>
        <v>0</v>
      </c>
      <c r="P115" s="85"/>
      <c r="Z115" s="36">
        <f>IF(AQ115="5",BJ115,0)</f>
        <v>0</v>
      </c>
      <c r="AB115" s="36">
        <f>IF(AQ115="1",BH115,0)</f>
        <v>0</v>
      </c>
      <c r="AC115" s="36">
        <f>IF(AQ115="1",BI115,0)</f>
        <v>0</v>
      </c>
      <c r="AD115" s="36">
        <f>IF(AQ115="7",BH115,0)</f>
        <v>0</v>
      </c>
      <c r="AE115" s="36">
        <f>IF(AQ115="7",BI115,0)</f>
        <v>0</v>
      </c>
      <c r="AF115" s="36">
        <f>IF(AQ115="2",BH115,0)</f>
        <v>0</v>
      </c>
      <c r="AG115" s="36">
        <f>IF(AQ115="2",BI115,0)</f>
        <v>0</v>
      </c>
      <c r="AH115" s="36">
        <f>IF(AQ115="0",BJ115,0)</f>
        <v>0</v>
      </c>
      <c r="AI115" s="34" t="s">
        <v>691</v>
      </c>
      <c r="AJ115" s="24">
        <f>IF(AN115=0,K115,0)</f>
        <v>0</v>
      </c>
      <c r="AK115" s="24">
        <f>IF(AN115=15,K115,0)</f>
        <v>0</v>
      </c>
      <c r="AL115" s="24">
        <f>IF(AN115=21,K115,0)</f>
        <v>0</v>
      </c>
      <c r="AN115" s="36">
        <v>21</v>
      </c>
      <c r="AO115" s="36">
        <f>H115*0</f>
        <v>0</v>
      </c>
      <c r="AP115" s="36">
        <f>H115*(1-0)</f>
        <v>0</v>
      </c>
      <c r="AQ115" s="37" t="s">
        <v>11</v>
      </c>
      <c r="AV115" s="36">
        <f>AW115+AX115</f>
        <v>0</v>
      </c>
      <c r="AW115" s="36">
        <f>G115*AO115</f>
        <v>0</v>
      </c>
      <c r="AX115" s="36">
        <f>G115*AP115</f>
        <v>0</v>
      </c>
      <c r="AY115" s="39" t="s">
        <v>696</v>
      </c>
      <c r="AZ115" s="39" t="s">
        <v>721</v>
      </c>
      <c r="BA115" s="34" t="s">
        <v>735</v>
      </c>
      <c r="BC115" s="36">
        <f>AW115+AX115</f>
        <v>0</v>
      </c>
      <c r="BD115" s="36">
        <f>H115/(100-BE115)*100</f>
        <v>0</v>
      </c>
      <c r="BE115" s="36">
        <v>0</v>
      </c>
      <c r="BF115" s="36">
        <f>O115</f>
        <v>0</v>
      </c>
      <c r="BH115" s="24">
        <f>G115*AO115</f>
        <v>0</v>
      </c>
      <c r="BI115" s="24">
        <f>G115*AP115</f>
        <v>0</v>
      </c>
      <c r="BJ115" s="24">
        <f>G115*H115</f>
        <v>0</v>
      </c>
      <c r="BK115" s="24" t="s">
        <v>740</v>
      </c>
      <c r="BL115" s="36">
        <v>56</v>
      </c>
    </row>
    <row r="116" spans="1:16" ht="12.75">
      <c r="A116" s="91"/>
      <c r="B116" s="94"/>
      <c r="C116" s="93" t="s">
        <v>78</v>
      </c>
      <c r="E116" s="95" t="s">
        <v>592</v>
      </c>
      <c r="F116" s="94"/>
      <c r="G116" s="97">
        <v>72</v>
      </c>
      <c r="H116" s="94"/>
      <c r="I116" s="94"/>
      <c r="J116" s="94"/>
      <c r="K116" s="94"/>
      <c r="L116" s="94"/>
      <c r="M116" s="90"/>
      <c r="N116" s="99"/>
      <c r="O116" s="87"/>
      <c r="P116" s="85"/>
    </row>
    <row r="117" spans="1:47" ht="12.75">
      <c r="A117" s="4"/>
      <c r="B117" s="13" t="s">
        <v>37</v>
      </c>
      <c r="C117" s="160" t="s">
        <v>345</v>
      </c>
      <c r="D117" s="161"/>
      <c r="E117" s="161"/>
      <c r="F117" s="22" t="s">
        <v>6</v>
      </c>
      <c r="G117" s="22" t="s">
        <v>6</v>
      </c>
      <c r="H117" s="22" t="s">
        <v>6</v>
      </c>
      <c r="I117" s="43">
        <f>SUM(I118:I123)</f>
        <v>0</v>
      </c>
      <c r="J117" s="43">
        <f>SUM(J118:J123)</f>
        <v>0</v>
      </c>
      <c r="K117" s="43">
        <f>SUM(K118:K123)</f>
        <v>0</v>
      </c>
      <c r="L117" s="34"/>
      <c r="M117" s="34"/>
      <c r="N117" s="34"/>
      <c r="O117" s="46">
        <f>SUM(O118:O123)</f>
        <v>3.12006</v>
      </c>
      <c r="P117" s="6"/>
      <c r="AI117" s="34" t="s">
        <v>691</v>
      </c>
      <c r="AS117" s="43">
        <f>SUM(AJ118:AJ123)</f>
        <v>0</v>
      </c>
      <c r="AT117" s="43">
        <f>SUM(AK118:AK123)</f>
        <v>0</v>
      </c>
      <c r="AU117" s="43">
        <f>SUM(AL118:AL123)</f>
        <v>0</v>
      </c>
    </row>
    <row r="118" spans="1:64" ht="12.75">
      <c r="A118" s="88" t="s">
        <v>34</v>
      </c>
      <c r="B118" s="88" t="s">
        <v>168</v>
      </c>
      <c r="C118" s="156" t="s">
        <v>346</v>
      </c>
      <c r="D118" s="157"/>
      <c r="E118" s="158"/>
      <c r="F118" s="88" t="s">
        <v>655</v>
      </c>
      <c r="G118" s="96">
        <v>0.5</v>
      </c>
      <c r="H118" s="96">
        <v>0</v>
      </c>
      <c r="I118" s="96">
        <f>G118*AO118</f>
        <v>0</v>
      </c>
      <c r="J118" s="96">
        <f>G118*AP118</f>
        <v>0</v>
      </c>
      <c r="K118" s="96">
        <f>G118*H118</f>
        <v>0</v>
      </c>
      <c r="L118" s="96">
        <v>0.00128</v>
      </c>
      <c r="M118" s="81">
        <v>1.8</v>
      </c>
      <c r="N118" s="98">
        <v>1.80128</v>
      </c>
      <c r="O118" s="81">
        <f>G118*N118</f>
        <v>0.90064</v>
      </c>
      <c r="P118" s="85"/>
      <c r="Z118" s="36">
        <f>IF(AQ118="5",BJ118,0)</f>
        <v>0</v>
      </c>
      <c r="AB118" s="36">
        <f>IF(AQ118="1",BH118,0)</f>
        <v>0</v>
      </c>
      <c r="AC118" s="36">
        <f>IF(AQ118="1",BI118,0)</f>
        <v>0</v>
      </c>
      <c r="AD118" s="36">
        <f>IF(AQ118="7",BH118,0)</f>
        <v>0</v>
      </c>
      <c r="AE118" s="36">
        <f>IF(AQ118="7",BI118,0)</f>
        <v>0</v>
      </c>
      <c r="AF118" s="36">
        <f>IF(AQ118="2",BH118,0)</f>
        <v>0</v>
      </c>
      <c r="AG118" s="36">
        <f>IF(AQ118="2",BI118,0)</f>
        <v>0</v>
      </c>
      <c r="AH118" s="36">
        <f>IF(AQ118="0",BJ118,0)</f>
        <v>0</v>
      </c>
      <c r="AI118" s="34" t="s">
        <v>691</v>
      </c>
      <c r="AJ118" s="24">
        <f>IF(AN118=0,K118,0)</f>
        <v>0</v>
      </c>
      <c r="AK118" s="24">
        <f>IF(AN118=15,K118,0)</f>
        <v>0</v>
      </c>
      <c r="AL118" s="24">
        <f>IF(AN118=21,K118,0)</f>
        <v>0</v>
      </c>
      <c r="AN118" s="36">
        <v>21</v>
      </c>
      <c r="AO118" s="36">
        <f>H118*0.0367584480600751</f>
        <v>0</v>
      </c>
      <c r="AP118" s="36">
        <f>H118*(1-0.0367584480600751)</f>
        <v>0</v>
      </c>
      <c r="AQ118" s="37" t="s">
        <v>7</v>
      </c>
      <c r="AV118" s="36">
        <f>AW118+AX118</f>
        <v>0</v>
      </c>
      <c r="AW118" s="36">
        <f>G118*AO118</f>
        <v>0</v>
      </c>
      <c r="AX118" s="36">
        <f>G118*AP118</f>
        <v>0</v>
      </c>
      <c r="AY118" s="39" t="s">
        <v>697</v>
      </c>
      <c r="AZ118" s="39" t="s">
        <v>722</v>
      </c>
      <c r="BA118" s="34" t="s">
        <v>735</v>
      </c>
      <c r="BC118" s="36">
        <f>AW118+AX118</f>
        <v>0</v>
      </c>
      <c r="BD118" s="36">
        <f>H118/(100-BE118)*100</f>
        <v>0</v>
      </c>
      <c r="BE118" s="36">
        <v>0</v>
      </c>
      <c r="BF118" s="36">
        <f>O118</f>
        <v>0.90064</v>
      </c>
      <c r="BH118" s="24">
        <f>G118*AO118</f>
        <v>0</v>
      </c>
      <c r="BI118" s="24">
        <f>G118*AP118</f>
        <v>0</v>
      </c>
      <c r="BJ118" s="24">
        <f>G118*H118</f>
        <v>0</v>
      </c>
      <c r="BK118" s="24" t="s">
        <v>740</v>
      </c>
      <c r="BL118" s="36">
        <v>31</v>
      </c>
    </row>
    <row r="119" spans="1:16" ht="12.75">
      <c r="A119" s="100"/>
      <c r="B119" s="101"/>
      <c r="C119" s="92" t="s">
        <v>347</v>
      </c>
      <c r="E119" s="102" t="s">
        <v>593</v>
      </c>
      <c r="F119" s="101"/>
      <c r="G119" s="103">
        <v>0.5</v>
      </c>
      <c r="H119" s="101"/>
      <c r="I119" s="101"/>
      <c r="J119" s="101"/>
      <c r="K119" s="101"/>
      <c r="L119" s="101"/>
      <c r="M119" s="89"/>
      <c r="N119" s="104"/>
      <c r="O119" s="86"/>
      <c r="P119" s="85"/>
    </row>
    <row r="120" spans="1:64" ht="12.75">
      <c r="A120" s="88" t="s">
        <v>35</v>
      </c>
      <c r="B120" s="88" t="s">
        <v>169</v>
      </c>
      <c r="C120" s="156" t="s">
        <v>348</v>
      </c>
      <c r="D120" s="157"/>
      <c r="E120" s="158"/>
      <c r="F120" s="88" t="s">
        <v>655</v>
      </c>
      <c r="G120" s="96">
        <v>1</v>
      </c>
      <c r="H120" s="96">
        <v>0</v>
      </c>
      <c r="I120" s="96">
        <f>G120*AO120</f>
        <v>0</v>
      </c>
      <c r="J120" s="96">
        <f>G120*AP120</f>
        <v>0</v>
      </c>
      <c r="K120" s="96">
        <f>G120*H120</f>
        <v>0</v>
      </c>
      <c r="L120" s="96">
        <v>1.84272</v>
      </c>
      <c r="M120" s="81">
        <v>0</v>
      </c>
      <c r="N120" s="98">
        <v>1.84272</v>
      </c>
      <c r="O120" s="81">
        <f>G120*N120</f>
        <v>1.84272</v>
      </c>
      <c r="P120" s="85"/>
      <c r="Z120" s="36">
        <f>IF(AQ120="5",BJ120,0)</f>
        <v>0</v>
      </c>
      <c r="AB120" s="36">
        <f>IF(AQ120="1",BH120,0)</f>
        <v>0</v>
      </c>
      <c r="AC120" s="36">
        <f>IF(AQ120="1",BI120,0)</f>
        <v>0</v>
      </c>
      <c r="AD120" s="36">
        <f>IF(AQ120="7",BH120,0)</f>
        <v>0</v>
      </c>
      <c r="AE120" s="36">
        <f>IF(AQ120="7",BI120,0)</f>
        <v>0</v>
      </c>
      <c r="AF120" s="36">
        <f>IF(AQ120="2",BH120,0)</f>
        <v>0</v>
      </c>
      <c r="AG120" s="36">
        <f>IF(AQ120="2",BI120,0)</f>
        <v>0</v>
      </c>
      <c r="AH120" s="36">
        <f>IF(AQ120="0",BJ120,0)</f>
        <v>0</v>
      </c>
      <c r="AI120" s="34" t="s">
        <v>691</v>
      </c>
      <c r="AJ120" s="24">
        <f>IF(AN120=0,K120,0)</f>
        <v>0</v>
      </c>
      <c r="AK120" s="24">
        <f>IF(AN120=15,K120,0)</f>
        <v>0</v>
      </c>
      <c r="AL120" s="24">
        <f>IF(AN120=21,K120,0)</f>
        <v>0</v>
      </c>
      <c r="AN120" s="36">
        <v>21</v>
      </c>
      <c r="AO120" s="36">
        <f>H120*0.611263521288838</f>
        <v>0</v>
      </c>
      <c r="AP120" s="36">
        <f>H120*(1-0.611263521288838)</f>
        <v>0</v>
      </c>
      <c r="AQ120" s="37" t="s">
        <v>7</v>
      </c>
      <c r="AV120" s="36">
        <f>AW120+AX120</f>
        <v>0</v>
      </c>
      <c r="AW120" s="36">
        <f>G120*AO120</f>
        <v>0</v>
      </c>
      <c r="AX120" s="36">
        <f>G120*AP120</f>
        <v>0</v>
      </c>
      <c r="AY120" s="39" t="s">
        <v>697</v>
      </c>
      <c r="AZ120" s="39" t="s">
        <v>722</v>
      </c>
      <c r="BA120" s="34" t="s">
        <v>735</v>
      </c>
      <c r="BC120" s="36">
        <f>AW120+AX120</f>
        <v>0</v>
      </c>
      <c r="BD120" s="36">
        <f>H120/(100-BE120)*100</f>
        <v>0</v>
      </c>
      <c r="BE120" s="36">
        <v>0</v>
      </c>
      <c r="BF120" s="36">
        <f>O120</f>
        <v>1.84272</v>
      </c>
      <c r="BH120" s="24">
        <f>G120*AO120</f>
        <v>0</v>
      </c>
      <c r="BI120" s="24">
        <f>G120*AP120</f>
        <v>0</v>
      </c>
      <c r="BJ120" s="24">
        <f>G120*H120</f>
        <v>0</v>
      </c>
      <c r="BK120" s="24" t="s">
        <v>740</v>
      </c>
      <c r="BL120" s="36">
        <v>31</v>
      </c>
    </row>
    <row r="121" spans="1:16" ht="12.75">
      <c r="A121" s="91"/>
      <c r="B121" s="94"/>
      <c r="C121" s="93" t="s">
        <v>7</v>
      </c>
      <c r="E121" s="95"/>
      <c r="F121" s="94"/>
      <c r="G121" s="97">
        <v>1</v>
      </c>
      <c r="H121" s="94"/>
      <c r="I121" s="94"/>
      <c r="J121" s="94"/>
      <c r="K121" s="94"/>
      <c r="L121" s="94"/>
      <c r="M121" s="90"/>
      <c r="N121" s="99"/>
      <c r="O121" s="87"/>
      <c r="P121" s="85"/>
    </row>
    <row r="122" spans="1:16" ht="12.75">
      <c r="A122" s="6"/>
      <c r="B122" s="16" t="s">
        <v>137</v>
      </c>
      <c r="C122" s="165" t="s">
        <v>349</v>
      </c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7"/>
      <c r="P122" s="6"/>
    </row>
    <row r="123" spans="1:64" ht="12.75">
      <c r="A123" s="88" t="s">
        <v>36</v>
      </c>
      <c r="B123" s="88" t="s">
        <v>170</v>
      </c>
      <c r="C123" s="156" t="s">
        <v>350</v>
      </c>
      <c r="D123" s="157"/>
      <c r="E123" s="158"/>
      <c r="F123" s="88" t="s">
        <v>653</v>
      </c>
      <c r="G123" s="96">
        <v>10</v>
      </c>
      <c r="H123" s="96">
        <v>0</v>
      </c>
      <c r="I123" s="96">
        <f>G123*AO123</f>
        <v>0</v>
      </c>
      <c r="J123" s="96">
        <f>G123*AP123</f>
        <v>0</v>
      </c>
      <c r="K123" s="96">
        <f>G123*H123</f>
        <v>0</v>
      </c>
      <c r="L123" s="96">
        <v>0.03767</v>
      </c>
      <c r="M123" s="81">
        <v>0</v>
      </c>
      <c r="N123" s="98">
        <v>0.03767</v>
      </c>
      <c r="O123" s="81">
        <f>G123*N123</f>
        <v>0.37670000000000003</v>
      </c>
      <c r="P123" s="85"/>
      <c r="Z123" s="36">
        <f>IF(AQ123="5",BJ123,0)</f>
        <v>0</v>
      </c>
      <c r="AB123" s="36">
        <f>IF(AQ123="1",BH123,0)</f>
        <v>0</v>
      </c>
      <c r="AC123" s="36">
        <f>IF(AQ123="1",BI123,0)</f>
        <v>0</v>
      </c>
      <c r="AD123" s="36">
        <f>IF(AQ123="7",BH123,0)</f>
        <v>0</v>
      </c>
      <c r="AE123" s="36">
        <f>IF(AQ123="7",BI123,0)</f>
        <v>0</v>
      </c>
      <c r="AF123" s="36">
        <f>IF(AQ123="2",BH123,0)</f>
        <v>0</v>
      </c>
      <c r="AG123" s="36">
        <f>IF(AQ123="2",BI123,0)</f>
        <v>0</v>
      </c>
      <c r="AH123" s="36">
        <f>IF(AQ123="0",BJ123,0)</f>
        <v>0</v>
      </c>
      <c r="AI123" s="34" t="s">
        <v>691</v>
      </c>
      <c r="AJ123" s="24">
        <f>IF(AN123=0,K123,0)</f>
        <v>0</v>
      </c>
      <c r="AK123" s="24">
        <f>IF(AN123=15,K123,0)</f>
        <v>0</v>
      </c>
      <c r="AL123" s="24">
        <f>IF(AN123=21,K123,0)</f>
        <v>0</v>
      </c>
      <c r="AN123" s="36">
        <v>21</v>
      </c>
      <c r="AO123" s="36">
        <f>H123*0.181933962264151</f>
        <v>0</v>
      </c>
      <c r="AP123" s="36">
        <f>H123*(1-0.181933962264151)</f>
        <v>0</v>
      </c>
      <c r="AQ123" s="37" t="s">
        <v>7</v>
      </c>
      <c r="AV123" s="36">
        <f>AW123+AX123</f>
        <v>0</v>
      </c>
      <c r="AW123" s="36">
        <f>G123*AO123</f>
        <v>0</v>
      </c>
      <c r="AX123" s="36">
        <f>G123*AP123</f>
        <v>0</v>
      </c>
      <c r="AY123" s="39" t="s">
        <v>697</v>
      </c>
      <c r="AZ123" s="39" t="s">
        <v>722</v>
      </c>
      <c r="BA123" s="34" t="s">
        <v>735</v>
      </c>
      <c r="BC123" s="36">
        <f>AW123+AX123</f>
        <v>0</v>
      </c>
      <c r="BD123" s="36">
        <f>H123/(100-BE123)*100</f>
        <v>0</v>
      </c>
      <c r="BE123" s="36">
        <v>0</v>
      </c>
      <c r="BF123" s="36">
        <f>O123</f>
        <v>0.37670000000000003</v>
      </c>
      <c r="BH123" s="24">
        <f>G123*AO123</f>
        <v>0</v>
      </c>
      <c r="BI123" s="24">
        <f>G123*AP123</f>
        <v>0</v>
      </c>
      <c r="BJ123" s="24">
        <f>G123*H123</f>
        <v>0</v>
      </c>
      <c r="BK123" s="24" t="s">
        <v>740</v>
      </c>
      <c r="BL123" s="36">
        <v>31</v>
      </c>
    </row>
    <row r="124" spans="1:16" ht="12.75">
      <c r="A124" s="91"/>
      <c r="B124" s="94"/>
      <c r="C124" s="93" t="s">
        <v>16</v>
      </c>
      <c r="E124" s="95" t="s">
        <v>594</v>
      </c>
      <c r="F124" s="94"/>
      <c r="G124" s="97">
        <v>10</v>
      </c>
      <c r="H124" s="94"/>
      <c r="I124" s="94"/>
      <c r="J124" s="94"/>
      <c r="K124" s="94"/>
      <c r="L124" s="94"/>
      <c r="M124" s="90"/>
      <c r="N124" s="99"/>
      <c r="O124" s="87"/>
      <c r="P124" s="85"/>
    </row>
    <row r="125" spans="1:47" ht="12.75">
      <c r="A125" s="4"/>
      <c r="B125" s="13" t="s">
        <v>34</v>
      </c>
      <c r="C125" s="160" t="s">
        <v>351</v>
      </c>
      <c r="D125" s="161"/>
      <c r="E125" s="161"/>
      <c r="F125" s="22" t="s">
        <v>6</v>
      </c>
      <c r="G125" s="22" t="s">
        <v>6</v>
      </c>
      <c r="H125" s="22" t="s">
        <v>6</v>
      </c>
      <c r="I125" s="43">
        <f>SUM(I126:I126)</f>
        <v>0</v>
      </c>
      <c r="J125" s="43">
        <f>SUM(J126:J126)</f>
        <v>0</v>
      </c>
      <c r="K125" s="43">
        <f>SUM(K126:K126)</f>
        <v>0</v>
      </c>
      <c r="L125" s="34"/>
      <c r="M125" s="34"/>
      <c r="N125" s="34"/>
      <c r="O125" s="46">
        <f>SUM(O126:O126)</f>
        <v>0.041606000000000004</v>
      </c>
      <c r="P125" s="6"/>
      <c r="AI125" s="34" t="s">
        <v>691</v>
      </c>
      <c r="AS125" s="43">
        <f>SUM(AJ126:AJ126)</f>
        <v>0</v>
      </c>
      <c r="AT125" s="43">
        <f>SUM(AK126:AK126)</f>
        <v>0</v>
      </c>
      <c r="AU125" s="43">
        <f>SUM(AL126:AL126)</f>
        <v>0</v>
      </c>
    </row>
    <row r="126" spans="1:64" ht="12.75">
      <c r="A126" s="88" t="s">
        <v>37</v>
      </c>
      <c r="B126" s="88" t="s">
        <v>171</v>
      </c>
      <c r="C126" s="156" t="s">
        <v>352</v>
      </c>
      <c r="D126" s="157"/>
      <c r="E126" s="158"/>
      <c r="F126" s="88" t="s">
        <v>654</v>
      </c>
      <c r="G126" s="96">
        <v>58.6</v>
      </c>
      <c r="H126" s="96">
        <v>0</v>
      </c>
      <c r="I126" s="96">
        <f>G126*AO126</f>
        <v>0</v>
      </c>
      <c r="J126" s="96">
        <f>G126*AP126</f>
        <v>0</v>
      </c>
      <c r="K126" s="96">
        <f>G126*H126</f>
        <v>0</v>
      </c>
      <c r="L126" s="96">
        <v>0.00071</v>
      </c>
      <c r="M126" s="81">
        <v>0</v>
      </c>
      <c r="N126" s="98">
        <v>0.00071</v>
      </c>
      <c r="O126" s="81">
        <f>G126*N126</f>
        <v>0.041606000000000004</v>
      </c>
      <c r="P126" s="85"/>
      <c r="Z126" s="36">
        <f>IF(AQ126="5",BJ126,0)</f>
        <v>0</v>
      </c>
      <c r="AB126" s="36">
        <f>IF(AQ126="1",BH126,0)</f>
        <v>0</v>
      </c>
      <c r="AC126" s="36">
        <f>IF(AQ126="1",BI126,0)</f>
        <v>0</v>
      </c>
      <c r="AD126" s="36">
        <f>IF(AQ126="7",BH126,0)</f>
        <v>0</v>
      </c>
      <c r="AE126" s="36">
        <f>IF(AQ126="7",BI126,0)</f>
        <v>0</v>
      </c>
      <c r="AF126" s="36">
        <f>IF(AQ126="2",BH126,0)</f>
        <v>0</v>
      </c>
      <c r="AG126" s="36">
        <f>IF(AQ126="2",BI126,0)</f>
        <v>0</v>
      </c>
      <c r="AH126" s="36">
        <f>IF(AQ126="0",BJ126,0)</f>
        <v>0</v>
      </c>
      <c r="AI126" s="34" t="s">
        <v>691</v>
      </c>
      <c r="AJ126" s="24">
        <f>IF(AN126=0,K126,0)</f>
        <v>0</v>
      </c>
      <c r="AK126" s="24">
        <f>IF(AN126=15,K126,0)</f>
        <v>0</v>
      </c>
      <c r="AL126" s="24">
        <f>IF(AN126=21,K126,0)</f>
        <v>0</v>
      </c>
      <c r="AN126" s="36">
        <v>21</v>
      </c>
      <c r="AO126" s="36">
        <f>H126*0.685606672222582</f>
        <v>0</v>
      </c>
      <c r="AP126" s="36">
        <f>H126*(1-0.685606672222582)</f>
        <v>0</v>
      </c>
      <c r="AQ126" s="37" t="s">
        <v>7</v>
      </c>
      <c r="AV126" s="36">
        <f>AW126+AX126</f>
        <v>0</v>
      </c>
      <c r="AW126" s="36">
        <f>G126*AO126</f>
        <v>0</v>
      </c>
      <c r="AX126" s="36">
        <f>G126*AP126</f>
        <v>0</v>
      </c>
      <c r="AY126" s="39" t="s">
        <v>698</v>
      </c>
      <c r="AZ126" s="39" t="s">
        <v>723</v>
      </c>
      <c r="BA126" s="34" t="s">
        <v>735</v>
      </c>
      <c r="BC126" s="36">
        <f>AW126+AX126</f>
        <v>0</v>
      </c>
      <c r="BD126" s="36">
        <f>H126/(100-BE126)*100</f>
        <v>0</v>
      </c>
      <c r="BE126" s="36">
        <v>0</v>
      </c>
      <c r="BF126" s="36">
        <f>O126</f>
        <v>0.041606000000000004</v>
      </c>
      <c r="BH126" s="24">
        <f>G126*AO126</f>
        <v>0</v>
      </c>
      <c r="BI126" s="24">
        <f>G126*AP126</f>
        <v>0</v>
      </c>
      <c r="BJ126" s="24">
        <f>G126*H126</f>
        <v>0</v>
      </c>
      <c r="BK126" s="24" t="s">
        <v>740</v>
      </c>
      <c r="BL126" s="36">
        <v>28</v>
      </c>
    </row>
    <row r="127" spans="1:16" ht="12.75">
      <c r="A127" s="100"/>
      <c r="B127" s="101"/>
      <c r="C127" s="92" t="s">
        <v>353</v>
      </c>
      <c r="E127" s="102" t="s">
        <v>595</v>
      </c>
      <c r="F127" s="101"/>
      <c r="G127" s="103">
        <v>45.4</v>
      </c>
      <c r="H127" s="101"/>
      <c r="I127" s="101"/>
      <c r="J127" s="101"/>
      <c r="K127" s="101"/>
      <c r="L127" s="101"/>
      <c r="M127" s="89"/>
      <c r="N127" s="104"/>
      <c r="O127" s="86"/>
      <c r="P127" s="85"/>
    </row>
    <row r="128" spans="1:16" ht="12.75">
      <c r="A128" s="91"/>
      <c r="B128" s="94"/>
      <c r="C128" s="93" t="s">
        <v>354</v>
      </c>
      <c r="E128" s="95" t="s">
        <v>596</v>
      </c>
      <c r="F128" s="94"/>
      <c r="G128" s="97">
        <v>13.2</v>
      </c>
      <c r="H128" s="94"/>
      <c r="I128" s="94"/>
      <c r="J128" s="94"/>
      <c r="K128" s="94"/>
      <c r="L128" s="94"/>
      <c r="M128" s="90"/>
      <c r="N128" s="99"/>
      <c r="O128" s="87"/>
      <c r="P128" s="85"/>
    </row>
    <row r="129" spans="1:16" ht="63.75" customHeight="1">
      <c r="A129" s="6"/>
      <c r="B129" s="16" t="s">
        <v>137</v>
      </c>
      <c r="C129" s="165" t="s">
        <v>355</v>
      </c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7"/>
      <c r="P129" s="6"/>
    </row>
    <row r="130" spans="1:47" ht="12.75">
      <c r="A130" s="4"/>
      <c r="B130" s="13" t="s">
        <v>33</v>
      </c>
      <c r="C130" s="160" t="s">
        <v>356</v>
      </c>
      <c r="D130" s="161"/>
      <c r="E130" s="161"/>
      <c r="F130" s="22" t="s">
        <v>6</v>
      </c>
      <c r="G130" s="22" t="s">
        <v>6</v>
      </c>
      <c r="H130" s="22" t="s">
        <v>6</v>
      </c>
      <c r="I130" s="43">
        <f>SUM(I131:I131)</f>
        <v>0</v>
      </c>
      <c r="J130" s="43">
        <f>SUM(J131:J131)</f>
        <v>0</v>
      </c>
      <c r="K130" s="43">
        <f>SUM(K131:K131)</f>
        <v>0</v>
      </c>
      <c r="L130" s="34"/>
      <c r="M130" s="34"/>
      <c r="N130" s="34"/>
      <c r="O130" s="46">
        <f>SUM(O131:O131)</f>
        <v>1.6159999999999999</v>
      </c>
      <c r="P130" s="6"/>
      <c r="AI130" s="34" t="s">
        <v>691</v>
      </c>
      <c r="AS130" s="43">
        <f>SUM(AJ131:AJ131)</f>
        <v>0</v>
      </c>
      <c r="AT130" s="43">
        <f>SUM(AK131:AK131)</f>
        <v>0</v>
      </c>
      <c r="AU130" s="43">
        <f>SUM(AL131:AL131)</f>
        <v>0</v>
      </c>
    </row>
    <row r="131" spans="1:64" ht="12.75">
      <c r="A131" s="88" t="s">
        <v>38</v>
      </c>
      <c r="B131" s="88" t="s">
        <v>172</v>
      </c>
      <c r="C131" s="156" t="s">
        <v>357</v>
      </c>
      <c r="D131" s="157"/>
      <c r="E131" s="158"/>
      <c r="F131" s="88" t="s">
        <v>655</v>
      </c>
      <c r="G131" s="96">
        <v>0.625</v>
      </c>
      <c r="H131" s="96">
        <v>0</v>
      </c>
      <c r="I131" s="96">
        <f>G131*AO131</f>
        <v>0</v>
      </c>
      <c r="J131" s="96">
        <f>G131*AP131</f>
        <v>0</v>
      </c>
      <c r="K131" s="96">
        <f>G131*H131</f>
        <v>0</v>
      </c>
      <c r="L131" s="96">
        <v>2.5856</v>
      </c>
      <c r="M131" s="81">
        <v>0</v>
      </c>
      <c r="N131" s="98">
        <v>2.5856</v>
      </c>
      <c r="O131" s="81">
        <f>G131*N131</f>
        <v>1.6159999999999999</v>
      </c>
      <c r="P131" s="85"/>
      <c r="Z131" s="36">
        <f>IF(AQ131="5",BJ131,0)</f>
        <v>0</v>
      </c>
      <c r="AB131" s="36">
        <f>IF(AQ131="1",BH131,0)</f>
        <v>0</v>
      </c>
      <c r="AC131" s="36">
        <f>IF(AQ131="1",BI131,0)</f>
        <v>0</v>
      </c>
      <c r="AD131" s="36">
        <f>IF(AQ131="7",BH131,0)</f>
        <v>0</v>
      </c>
      <c r="AE131" s="36">
        <f>IF(AQ131="7",BI131,0)</f>
        <v>0</v>
      </c>
      <c r="AF131" s="36">
        <f>IF(AQ131="2",BH131,0)</f>
        <v>0</v>
      </c>
      <c r="AG131" s="36">
        <f>IF(AQ131="2",BI131,0)</f>
        <v>0</v>
      </c>
      <c r="AH131" s="36">
        <f>IF(AQ131="0",BJ131,0)</f>
        <v>0</v>
      </c>
      <c r="AI131" s="34" t="s">
        <v>691</v>
      </c>
      <c r="AJ131" s="24">
        <f>IF(AN131=0,K131,0)</f>
        <v>0</v>
      </c>
      <c r="AK131" s="24">
        <f>IF(AN131=15,K131,0)</f>
        <v>0</v>
      </c>
      <c r="AL131" s="24">
        <f>IF(AN131=21,K131,0)</f>
        <v>0</v>
      </c>
      <c r="AN131" s="36">
        <v>21</v>
      </c>
      <c r="AO131" s="36">
        <f>H131*0.921201438848921</f>
        <v>0</v>
      </c>
      <c r="AP131" s="36">
        <f>H131*(1-0.921201438848921)</f>
        <v>0</v>
      </c>
      <c r="AQ131" s="37" t="s">
        <v>7</v>
      </c>
      <c r="AV131" s="36">
        <f>AW131+AX131</f>
        <v>0</v>
      </c>
      <c r="AW131" s="36">
        <f>G131*AO131</f>
        <v>0</v>
      </c>
      <c r="AX131" s="36">
        <f>G131*AP131</f>
        <v>0</v>
      </c>
      <c r="AY131" s="39" t="s">
        <v>699</v>
      </c>
      <c r="AZ131" s="39" t="s">
        <v>723</v>
      </c>
      <c r="BA131" s="34" t="s">
        <v>735</v>
      </c>
      <c r="BC131" s="36">
        <f>AW131+AX131</f>
        <v>0</v>
      </c>
      <c r="BD131" s="36">
        <f>H131/(100-BE131)*100</f>
        <v>0</v>
      </c>
      <c r="BE131" s="36">
        <v>0</v>
      </c>
      <c r="BF131" s="36">
        <f>O131</f>
        <v>1.6159999999999999</v>
      </c>
      <c r="BH131" s="24">
        <f>G131*AO131</f>
        <v>0</v>
      </c>
      <c r="BI131" s="24">
        <f>G131*AP131</f>
        <v>0</v>
      </c>
      <c r="BJ131" s="24">
        <f>G131*H131</f>
        <v>0</v>
      </c>
      <c r="BK131" s="24" t="s">
        <v>740</v>
      </c>
      <c r="BL131" s="36">
        <v>27</v>
      </c>
    </row>
    <row r="132" spans="1:16" ht="12.75">
      <c r="A132" s="100"/>
      <c r="B132" s="101"/>
      <c r="C132" s="92" t="s">
        <v>358</v>
      </c>
      <c r="E132" s="102" t="s">
        <v>597</v>
      </c>
      <c r="F132" s="101"/>
      <c r="G132" s="103">
        <v>0.25</v>
      </c>
      <c r="H132" s="101"/>
      <c r="I132" s="101"/>
      <c r="J132" s="101"/>
      <c r="K132" s="101"/>
      <c r="L132" s="101"/>
      <c r="M132" s="89"/>
      <c r="N132" s="104"/>
      <c r="O132" s="86"/>
      <c r="P132" s="85"/>
    </row>
    <row r="133" spans="1:16" ht="12.75">
      <c r="A133" s="91"/>
      <c r="B133" s="94"/>
      <c r="C133" s="93" t="s">
        <v>359</v>
      </c>
      <c r="E133" s="95" t="s">
        <v>598</v>
      </c>
      <c r="F133" s="94"/>
      <c r="G133" s="97">
        <v>0.375</v>
      </c>
      <c r="H133" s="94"/>
      <c r="I133" s="94"/>
      <c r="J133" s="94"/>
      <c r="K133" s="94"/>
      <c r="L133" s="94"/>
      <c r="M133" s="90"/>
      <c r="N133" s="99"/>
      <c r="O133" s="87"/>
      <c r="P133" s="85"/>
    </row>
    <row r="134" spans="1:47" ht="12.75">
      <c r="A134" s="4"/>
      <c r="B134" s="13" t="s">
        <v>68</v>
      </c>
      <c r="C134" s="160" t="s">
        <v>360</v>
      </c>
      <c r="D134" s="161"/>
      <c r="E134" s="161"/>
      <c r="F134" s="22" t="s">
        <v>6</v>
      </c>
      <c r="G134" s="22" t="s">
        <v>6</v>
      </c>
      <c r="H134" s="22" t="s">
        <v>6</v>
      </c>
      <c r="I134" s="43">
        <f>SUM(I135:I161)</f>
        <v>0</v>
      </c>
      <c r="J134" s="43">
        <f>SUM(J135:J161)</f>
        <v>0</v>
      </c>
      <c r="K134" s="43">
        <f>SUM(K135:K161)</f>
        <v>0</v>
      </c>
      <c r="L134" s="34"/>
      <c r="M134" s="34"/>
      <c r="N134" s="34"/>
      <c r="O134" s="46">
        <f>SUM(O135:O161)</f>
        <v>1.2692599999999998</v>
      </c>
      <c r="P134" s="6"/>
      <c r="AI134" s="34" t="s">
        <v>691</v>
      </c>
      <c r="AS134" s="43">
        <f>SUM(AJ135:AJ161)</f>
        <v>0</v>
      </c>
      <c r="AT134" s="43">
        <f>SUM(AK135:AK161)</f>
        <v>0</v>
      </c>
      <c r="AU134" s="43">
        <f>SUM(AL135:AL161)</f>
        <v>0</v>
      </c>
    </row>
    <row r="135" spans="1:64" ht="12.75">
      <c r="A135" s="88" t="s">
        <v>39</v>
      </c>
      <c r="B135" s="88" t="s">
        <v>173</v>
      </c>
      <c r="C135" s="156" t="s">
        <v>361</v>
      </c>
      <c r="D135" s="157"/>
      <c r="E135" s="158"/>
      <c r="F135" s="88" t="s">
        <v>653</v>
      </c>
      <c r="G135" s="96">
        <v>8.36</v>
      </c>
      <c r="H135" s="96">
        <v>0</v>
      </c>
      <c r="I135" s="96">
        <f>G135*AO135</f>
        <v>0</v>
      </c>
      <c r="J135" s="96">
        <f>G135*AP135</f>
        <v>0</v>
      </c>
      <c r="K135" s="96">
        <f>G135*H135</f>
        <v>0</v>
      </c>
      <c r="L135" s="96">
        <v>0</v>
      </c>
      <c r="M135" s="81">
        <v>0.0103</v>
      </c>
      <c r="N135" s="98">
        <v>0.0103</v>
      </c>
      <c r="O135" s="81">
        <f>G135*N135</f>
        <v>0.08610799999999999</v>
      </c>
      <c r="P135" s="85"/>
      <c r="Z135" s="36">
        <f>IF(AQ135="5",BJ135,0)</f>
        <v>0</v>
      </c>
      <c r="AB135" s="36">
        <f>IF(AQ135="1",BH135,0)</f>
        <v>0</v>
      </c>
      <c r="AC135" s="36">
        <f>IF(AQ135="1",BI135,0)</f>
        <v>0</v>
      </c>
      <c r="AD135" s="36">
        <f>IF(AQ135="7",BH135,0)</f>
        <v>0</v>
      </c>
      <c r="AE135" s="36">
        <f>IF(AQ135="7",BI135,0)</f>
        <v>0</v>
      </c>
      <c r="AF135" s="36">
        <f>IF(AQ135="2",BH135,0)</f>
        <v>0</v>
      </c>
      <c r="AG135" s="36">
        <f>IF(AQ135="2",BI135,0)</f>
        <v>0</v>
      </c>
      <c r="AH135" s="36">
        <f>IF(AQ135="0",BJ135,0)</f>
        <v>0</v>
      </c>
      <c r="AI135" s="34" t="s">
        <v>691</v>
      </c>
      <c r="AJ135" s="24">
        <f>IF(AN135=0,K135,0)</f>
        <v>0</v>
      </c>
      <c r="AK135" s="24">
        <f>IF(AN135=15,K135,0)</f>
        <v>0</v>
      </c>
      <c r="AL135" s="24">
        <f>IF(AN135=21,K135,0)</f>
        <v>0</v>
      </c>
      <c r="AN135" s="36">
        <v>21</v>
      </c>
      <c r="AO135" s="36">
        <f>H135*0</f>
        <v>0</v>
      </c>
      <c r="AP135" s="36">
        <f>H135*(1-0)</f>
        <v>0</v>
      </c>
      <c r="AQ135" s="37" t="s">
        <v>7</v>
      </c>
      <c r="AV135" s="36">
        <f>AW135+AX135</f>
        <v>0</v>
      </c>
      <c r="AW135" s="36">
        <f>G135*AO135</f>
        <v>0</v>
      </c>
      <c r="AX135" s="36">
        <f>G135*AP135</f>
        <v>0</v>
      </c>
      <c r="AY135" s="39" t="s">
        <v>700</v>
      </c>
      <c r="AZ135" s="39" t="s">
        <v>724</v>
      </c>
      <c r="BA135" s="34" t="s">
        <v>735</v>
      </c>
      <c r="BC135" s="36">
        <f>AW135+AX135</f>
        <v>0</v>
      </c>
      <c r="BD135" s="36">
        <f>H135/(100-BE135)*100</f>
        <v>0</v>
      </c>
      <c r="BE135" s="36">
        <v>0</v>
      </c>
      <c r="BF135" s="36">
        <f>O135</f>
        <v>0.08610799999999999</v>
      </c>
      <c r="BH135" s="24">
        <f>G135*AO135</f>
        <v>0</v>
      </c>
      <c r="BI135" s="24">
        <f>G135*AP135</f>
        <v>0</v>
      </c>
      <c r="BJ135" s="24">
        <f>G135*H135</f>
        <v>0</v>
      </c>
      <c r="BK135" s="24" t="s">
        <v>740</v>
      </c>
      <c r="BL135" s="36">
        <v>62</v>
      </c>
    </row>
    <row r="136" spans="1:16" ht="12.75">
      <c r="A136" s="91"/>
      <c r="B136" s="94"/>
      <c r="C136" s="93" t="s">
        <v>362</v>
      </c>
      <c r="E136" s="95"/>
      <c r="F136" s="94"/>
      <c r="G136" s="97">
        <v>8.36</v>
      </c>
      <c r="H136" s="94"/>
      <c r="I136" s="94"/>
      <c r="J136" s="94"/>
      <c r="K136" s="94"/>
      <c r="L136" s="94"/>
      <c r="M136" s="90"/>
      <c r="N136" s="99"/>
      <c r="O136" s="87"/>
      <c r="P136" s="85"/>
    </row>
    <row r="137" spans="1:16" ht="12.75">
      <c r="A137" s="6"/>
      <c r="B137" s="16" t="s">
        <v>137</v>
      </c>
      <c r="C137" s="165" t="s">
        <v>363</v>
      </c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7"/>
      <c r="P137" s="6"/>
    </row>
    <row r="138" spans="1:64" ht="12.75">
      <c r="A138" s="88" t="s">
        <v>40</v>
      </c>
      <c r="B138" s="88" t="s">
        <v>174</v>
      </c>
      <c r="C138" s="156" t="s">
        <v>364</v>
      </c>
      <c r="D138" s="157"/>
      <c r="E138" s="158"/>
      <c r="F138" s="88" t="s">
        <v>653</v>
      </c>
      <c r="G138" s="96">
        <v>17.85</v>
      </c>
      <c r="H138" s="96">
        <v>0</v>
      </c>
      <c r="I138" s="96">
        <f>G138*AO138</f>
        <v>0</v>
      </c>
      <c r="J138" s="96">
        <f>G138*AP138</f>
        <v>0</v>
      </c>
      <c r="K138" s="96">
        <f>G138*H138</f>
        <v>0</v>
      </c>
      <c r="L138" s="96">
        <v>0</v>
      </c>
      <c r="M138" s="81">
        <v>0</v>
      </c>
      <c r="N138" s="98">
        <v>0</v>
      </c>
      <c r="O138" s="81">
        <f>G138*N138</f>
        <v>0</v>
      </c>
      <c r="P138" s="85"/>
      <c r="Z138" s="36">
        <f>IF(AQ138="5",BJ138,0)</f>
        <v>0</v>
      </c>
      <c r="AB138" s="36">
        <f>IF(AQ138="1",BH138,0)</f>
        <v>0</v>
      </c>
      <c r="AC138" s="36">
        <f>IF(AQ138="1",BI138,0)</f>
        <v>0</v>
      </c>
      <c r="AD138" s="36">
        <f>IF(AQ138="7",BH138,0)</f>
        <v>0</v>
      </c>
      <c r="AE138" s="36">
        <f>IF(AQ138="7",BI138,0)</f>
        <v>0</v>
      </c>
      <c r="AF138" s="36">
        <f>IF(AQ138="2",BH138,0)</f>
        <v>0</v>
      </c>
      <c r="AG138" s="36">
        <f>IF(AQ138="2",BI138,0)</f>
        <v>0</v>
      </c>
      <c r="AH138" s="36">
        <f>IF(AQ138="0",BJ138,0)</f>
        <v>0</v>
      </c>
      <c r="AI138" s="34" t="s">
        <v>691</v>
      </c>
      <c r="AJ138" s="24">
        <f>IF(AN138=0,K138,0)</f>
        <v>0</v>
      </c>
      <c r="AK138" s="24">
        <f>IF(AN138=15,K138,0)</f>
        <v>0</v>
      </c>
      <c r="AL138" s="24">
        <f>IF(AN138=21,K138,0)</f>
        <v>0</v>
      </c>
      <c r="AN138" s="36">
        <v>21</v>
      </c>
      <c r="AO138" s="36">
        <f>H138*0</f>
        <v>0</v>
      </c>
      <c r="AP138" s="36">
        <f>H138*(1-0)</f>
        <v>0</v>
      </c>
      <c r="AQ138" s="37" t="s">
        <v>7</v>
      </c>
      <c r="AV138" s="36">
        <f>AW138+AX138</f>
        <v>0</v>
      </c>
      <c r="AW138" s="36">
        <f>G138*AO138</f>
        <v>0</v>
      </c>
      <c r="AX138" s="36">
        <f>G138*AP138</f>
        <v>0</v>
      </c>
      <c r="AY138" s="39" t="s">
        <v>700</v>
      </c>
      <c r="AZ138" s="39" t="s">
        <v>724</v>
      </c>
      <c r="BA138" s="34" t="s">
        <v>735</v>
      </c>
      <c r="BC138" s="36">
        <f>AW138+AX138</f>
        <v>0</v>
      </c>
      <c r="BD138" s="36">
        <f>H138/(100-BE138)*100</f>
        <v>0</v>
      </c>
      <c r="BE138" s="36">
        <v>0</v>
      </c>
      <c r="BF138" s="36">
        <f>O138</f>
        <v>0</v>
      </c>
      <c r="BH138" s="24">
        <f>G138*AO138</f>
        <v>0</v>
      </c>
      <c r="BI138" s="24">
        <f>G138*AP138</f>
        <v>0</v>
      </c>
      <c r="BJ138" s="24">
        <f>G138*H138</f>
        <v>0</v>
      </c>
      <c r="BK138" s="24" t="s">
        <v>740</v>
      </c>
      <c r="BL138" s="36">
        <v>62</v>
      </c>
    </row>
    <row r="139" spans="1:16" ht="12.75">
      <c r="A139" s="100"/>
      <c r="B139" s="101"/>
      <c r="C139" s="92" t="s">
        <v>365</v>
      </c>
      <c r="E139" s="102" t="s">
        <v>599</v>
      </c>
      <c r="F139" s="101"/>
      <c r="G139" s="103">
        <v>10.6</v>
      </c>
      <c r="H139" s="101"/>
      <c r="I139" s="101"/>
      <c r="J139" s="101"/>
      <c r="K139" s="101"/>
      <c r="L139" s="101"/>
      <c r="M139" s="89"/>
      <c r="N139" s="104"/>
      <c r="O139" s="86"/>
      <c r="P139" s="85"/>
    </row>
    <row r="140" spans="1:16" ht="12.75">
      <c r="A140" s="91"/>
      <c r="B140" s="94"/>
      <c r="C140" s="93" t="s">
        <v>366</v>
      </c>
      <c r="E140" s="95" t="s">
        <v>600</v>
      </c>
      <c r="F140" s="94"/>
      <c r="G140" s="97">
        <v>7.25</v>
      </c>
      <c r="H140" s="94"/>
      <c r="I140" s="94"/>
      <c r="J140" s="94"/>
      <c r="K140" s="94"/>
      <c r="L140" s="94"/>
      <c r="M140" s="90"/>
      <c r="N140" s="99"/>
      <c r="O140" s="87"/>
      <c r="P140" s="85"/>
    </row>
    <row r="141" spans="1:16" ht="12.75">
      <c r="A141" s="6"/>
      <c r="B141" s="16" t="s">
        <v>137</v>
      </c>
      <c r="C141" s="165" t="s">
        <v>367</v>
      </c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7"/>
      <c r="P141" s="6"/>
    </row>
    <row r="142" spans="1:64" ht="12.75">
      <c r="A142" s="88" t="s">
        <v>41</v>
      </c>
      <c r="B142" s="88" t="s">
        <v>175</v>
      </c>
      <c r="C142" s="156" t="s">
        <v>368</v>
      </c>
      <c r="D142" s="157"/>
      <c r="E142" s="158"/>
      <c r="F142" s="88" t="s">
        <v>653</v>
      </c>
      <c r="G142" s="96">
        <v>12</v>
      </c>
      <c r="H142" s="96">
        <v>0</v>
      </c>
      <c r="I142" s="96">
        <f>G142*AO142</f>
        <v>0</v>
      </c>
      <c r="J142" s="96">
        <f>G142*AP142</f>
        <v>0</v>
      </c>
      <c r="K142" s="96">
        <f>G142*H142</f>
        <v>0</v>
      </c>
      <c r="L142" s="96">
        <v>0</v>
      </c>
      <c r="M142" s="81">
        <v>0.059</v>
      </c>
      <c r="N142" s="98">
        <v>0.059</v>
      </c>
      <c r="O142" s="81">
        <f>G142*N142</f>
        <v>0.708</v>
      </c>
      <c r="P142" s="85"/>
      <c r="Z142" s="36">
        <f>IF(AQ142="5",BJ142,0)</f>
        <v>0</v>
      </c>
      <c r="AB142" s="36">
        <f>IF(AQ142="1",BH142,0)</f>
        <v>0</v>
      </c>
      <c r="AC142" s="36">
        <f>IF(AQ142="1",BI142,0)</f>
        <v>0</v>
      </c>
      <c r="AD142" s="36">
        <f>IF(AQ142="7",BH142,0)</f>
        <v>0</v>
      </c>
      <c r="AE142" s="36">
        <f>IF(AQ142="7",BI142,0)</f>
        <v>0</v>
      </c>
      <c r="AF142" s="36">
        <f>IF(AQ142="2",BH142,0)</f>
        <v>0</v>
      </c>
      <c r="AG142" s="36">
        <f>IF(AQ142="2",BI142,0)</f>
        <v>0</v>
      </c>
      <c r="AH142" s="36">
        <f>IF(AQ142="0",BJ142,0)</f>
        <v>0</v>
      </c>
      <c r="AI142" s="34" t="s">
        <v>691</v>
      </c>
      <c r="AJ142" s="24">
        <f>IF(AN142=0,K142,0)</f>
        <v>0</v>
      </c>
      <c r="AK142" s="24">
        <f>IF(AN142=15,K142,0)</f>
        <v>0</v>
      </c>
      <c r="AL142" s="24">
        <f>IF(AN142=21,K142,0)</f>
        <v>0</v>
      </c>
      <c r="AN142" s="36">
        <v>21</v>
      </c>
      <c r="AO142" s="36">
        <f>H142*0</f>
        <v>0</v>
      </c>
      <c r="AP142" s="36">
        <f>H142*(1-0)</f>
        <v>0</v>
      </c>
      <c r="AQ142" s="37" t="s">
        <v>7</v>
      </c>
      <c r="AV142" s="36">
        <f>AW142+AX142</f>
        <v>0</v>
      </c>
      <c r="AW142" s="36">
        <f>G142*AO142</f>
        <v>0</v>
      </c>
      <c r="AX142" s="36">
        <f>G142*AP142</f>
        <v>0</v>
      </c>
      <c r="AY142" s="39" t="s">
        <v>700</v>
      </c>
      <c r="AZ142" s="39" t="s">
        <v>724</v>
      </c>
      <c r="BA142" s="34" t="s">
        <v>735</v>
      </c>
      <c r="BC142" s="36">
        <f>AW142+AX142</f>
        <v>0</v>
      </c>
      <c r="BD142" s="36">
        <f>H142/(100-BE142)*100</f>
        <v>0</v>
      </c>
      <c r="BE142" s="36">
        <v>0</v>
      </c>
      <c r="BF142" s="36">
        <f>O142</f>
        <v>0.708</v>
      </c>
      <c r="BH142" s="24">
        <f>G142*AO142</f>
        <v>0</v>
      </c>
      <c r="BI142" s="24">
        <f>G142*AP142</f>
        <v>0</v>
      </c>
      <c r="BJ142" s="24">
        <f>G142*H142</f>
        <v>0</v>
      </c>
      <c r="BK142" s="24" t="s">
        <v>740</v>
      </c>
      <c r="BL142" s="36">
        <v>62</v>
      </c>
    </row>
    <row r="143" spans="1:16" ht="12.75">
      <c r="A143" s="100"/>
      <c r="B143" s="101"/>
      <c r="C143" s="92" t="s">
        <v>369</v>
      </c>
      <c r="E143" s="102" t="s">
        <v>601</v>
      </c>
      <c r="F143" s="101"/>
      <c r="G143" s="103">
        <v>12</v>
      </c>
      <c r="H143" s="101"/>
      <c r="I143" s="101"/>
      <c r="J143" s="101"/>
      <c r="K143" s="101"/>
      <c r="L143" s="101"/>
      <c r="M143" s="89"/>
      <c r="N143" s="104"/>
      <c r="O143" s="86"/>
      <c r="P143" s="85"/>
    </row>
    <row r="144" spans="1:64" ht="12.75">
      <c r="A144" s="80" t="s">
        <v>42</v>
      </c>
      <c r="B144" s="80" t="s">
        <v>176</v>
      </c>
      <c r="C144" s="162" t="s">
        <v>370</v>
      </c>
      <c r="D144" s="157"/>
      <c r="E144" s="164"/>
      <c r="F144" s="80" t="s">
        <v>653</v>
      </c>
      <c r="G144" s="83">
        <v>12</v>
      </c>
      <c r="H144" s="83">
        <v>0</v>
      </c>
      <c r="I144" s="83">
        <f>G144*AO144</f>
        <v>0</v>
      </c>
      <c r="J144" s="83">
        <f>G144*AP144</f>
        <v>0</v>
      </c>
      <c r="K144" s="83">
        <f>G144*H144</f>
        <v>0</v>
      </c>
      <c r="L144" s="83">
        <v>0.0005</v>
      </c>
      <c r="M144" s="82">
        <v>0</v>
      </c>
      <c r="N144" s="84">
        <v>0.0005</v>
      </c>
      <c r="O144" s="82">
        <f>G144*N144</f>
        <v>0.006</v>
      </c>
      <c r="P144" s="85"/>
      <c r="Z144" s="36">
        <f>IF(AQ144="5",BJ144,0)</f>
        <v>0</v>
      </c>
      <c r="AB144" s="36">
        <f>IF(AQ144="1",BH144,0)</f>
        <v>0</v>
      </c>
      <c r="AC144" s="36">
        <f>IF(AQ144="1",BI144,0)</f>
        <v>0</v>
      </c>
      <c r="AD144" s="36">
        <f>IF(AQ144="7",BH144,0)</f>
        <v>0</v>
      </c>
      <c r="AE144" s="36">
        <f>IF(AQ144="7",BI144,0)</f>
        <v>0</v>
      </c>
      <c r="AF144" s="36">
        <f>IF(AQ144="2",BH144,0)</f>
        <v>0</v>
      </c>
      <c r="AG144" s="36">
        <f>IF(AQ144="2",BI144,0)</f>
        <v>0</v>
      </c>
      <c r="AH144" s="36">
        <f>IF(AQ144="0",BJ144,0)</f>
        <v>0</v>
      </c>
      <c r="AI144" s="34" t="s">
        <v>691</v>
      </c>
      <c r="AJ144" s="24">
        <f>IF(AN144=0,K144,0)</f>
        <v>0</v>
      </c>
      <c r="AK144" s="24">
        <f>IF(AN144=15,K144,0)</f>
        <v>0</v>
      </c>
      <c r="AL144" s="24">
        <f>IF(AN144=21,K144,0)</f>
        <v>0</v>
      </c>
      <c r="AN144" s="36">
        <v>21</v>
      </c>
      <c r="AO144" s="36">
        <f>H144*0.693409090909091</f>
        <v>0</v>
      </c>
      <c r="AP144" s="36">
        <f>H144*(1-0.693409090909091)</f>
        <v>0</v>
      </c>
      <c r="AQ144" s="37" t="s">
        <v>7</v>
      </c>
      <c r="AV144" s="36">
        <f>AW144+AX144</f>
        <v>0</v>
      </c>
      <c r="AW144" s="36">
        <f>G144*AO144</f>
        <v>0</v>
      </c>
      <c r="AX144" s="36">
        <f>G144*AP144</f>
        <v>0</v>
      </c>
      <c r="AY144" s="39" t="s">
        <v>700</v>
      </c>
      <c r="AZ144" s="39" t="s">
        <v>724</v>
      </c>
      <c r="BA144" s="34" t="s">
        <v>735</v>
      </c>
      <c r="BC144" s="36">
        <f>AW144+AX144</f>
        <v>0</v>
      </c>
      <c r="BD144" s="36">
        <f>H144/(100-BE144)*100</f>
        <v>0</v>
      </c>
      <c r="BE144" s="36">
        <v>0</v>
      </c>
      <c r="BF144" s="36">
        <f>O144</f>
        <v>0.006</v>
      </c>
      <c r="BH144" s="24">
        <f>G144*AO144</f>
        <v>0</v>
      </c>
      <c r="BI144" s="24">
        <f>G144*AP144</f>
        <v>0</v>
      </c>
      <c r="BJ144" s="24">
        <f>G144*H144</f>
        <v>0</v>
      </c>
      <c r="BK144" s="24" t="s">
        <v>740</v>
      </c>
      <c r="BL144" s="36">
        <v>62</v>
      </c>
    </row>
    <row r="145" spans="1:16" ht="25.5" customHeight="1">
      <c r="A145" s="6"/>
      <c r="B145" s="16" t="s">
        <v>137</v>
      </c>
      <c r="C145" s="165" t="s">
        <v>371</v>
      </c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7"/>
      <c r="P145" s="6"/>
    </row>
    <row r="146" spans="1:64" ht="12.75">
      <c r="A146" s="80" t="s">
        <v>43</v>
      </c>
      <c r="B146" s="80" t="s">
        <v>177</v>
      </c>
      <c r="C146" s="162" t="s">
        <v>372</v>
      </c>
      <c r="D146" s="157"/>
      <c r="E146" s="164"/>
      <c r="F146" s="80" t="s">
        <v>653</v>
      </c>
      <c r="G146" s="83">
        <v>12</v>
      </c>
      <c r="H146" s="83">
        <v>0</v>
      </c>
      <c r="I146" s="83">
        <f>G146*AO146</f>
        <v>0</v>
      </c>
      <c r="J146" s="83">
        <f>G146*AP146</f>
        <v>0</v>
      </c>
      <c r="K146" s="83">
        <f>G146*H146</f>
        <v>0</v>
      </c>
      <c r="L146" s="83">
        <v>0.00672</v>
      </c>
      <c r="M146" s="82">
        <v>0</v>
      </c>
      <c r="N146" s="84">
        <v>0.00672</v>
      </c>
      <c r="O146" s="82">
        <f>G146*N146</f>
        <v>0.08064</v>
      </c>
      <c r="P146" s="85"/>
      <c r="Z146" s="36">
        <f>IF(AQ146="5",BJ146,0)</f>
        <v>0</v>
      </c>
      <c r="AB146" s="36">
        <f>IF(AQ146="1",BH146,0)</f>
        <v>0</v>
      </c>
      <c r="AC146" s="36">
        <f>IF(AQ146="1",BI146,0)</f>
        <v>0</v>
      </c>
      <c r="AD146" s="36">
        <f>IF(AQ146="7",BH146,0)</f>
        <v>0</v>
      </c>
      <c r="AE146" s="36">
        <f>IF(AQ146="7",BI146,0)</f>
        <v>0</v>
      </c>
      <c r="AF146" s="36">
        <f>IF(AQ146="2",BH146,0)</f>
        <v>0</v>
      </c>
      <c r="AG146" s="36">
        <f>IF(AQ146="2",BI146,0)</f>
        <v>0</v>
      </c>
      <c r="AH146" s="36">
        <f>IF(AQ146="0",BJ146,0)</f>
        <v>0</v>
      </c>
      <c r="AI146" s="34" t="s">
        <v>691</v>
      </c>
      <c r="AJ146" s="24">
        <f>IF(AN146=0,K146,0)</f>
        <v>0</v>
      </c>
      <c r="AK146" s="24">
        <f>IF(AN146=15,K146,0)</f>
        <v>0</v>
      </c>
      <c r="AL146" s="24">
        <f>IF(AN146=21,K146,0)</f>
        <v>0</v>
      </c>
      <c r="AN146" s="36">
        <v>21</v>
      </c>
      <c r="AO146" s="36">
        <f>H146*0.45224754077948</f>
        <v>0</v>
      </c>
      <c r="AP146" s="36">
        <f>H146*(1-0.45224754077948)</f>
        <v>0</v>
      </c>
      <c r="AQ146" s="37" t="s">
        <v>7</v>
      </c>
      <c r="AV146" s="36">
        <f>AW146+AX146</f>
        <v>0</v>
      </c>
      <c r="AW146" s="36">
        <f>G146*AO146</f>
        <v>0</v>
      </c>
      <c r="AX146" s="36">
        <f>G146*AP146</f>
        <v>0</v>
      </c>
      <c r="AY146" s="39" t="s">
        <v>700</v>
      </c>
      <c r="AZ146" s="39" t="s">
        <v>724</v>
      </c>
      <c r="BA146" s="34" t="s">
        <v>735</v>
      </c>
      <c r="BC146" s="36">
        <f>AW146+AX146</f>
        <v>0</v>
      </c>
      <c r="BD146" s="36">
        <f>H146/(100-BE146)*100</f>
        <v>0</v>
      </c>
      <c r="BE146" s="36">
        <v>0</v>
      </c>
      <c r="BF146" s="36">
        <f>O146</f>
        <v>0.08064</v>
      </c>
      <c r="BH146" s="24">
        <f>G146*AO146</f>
        <v>0</v>
      </c>
      <c r="BI146" s="24">
        <f>G146*AP146</f>
        <v>0</v>
      </c>
      <c r="BJ146" s="24">
        <f>G146*H146</f>
        <v>0</v>
      </c>
      <c r="BK146" s="24" t="s">
        <v>740</v>
      </c>
      <c r="BL146" s="36">
        <v>62</v>
      </c>
    </row>
    <row r="147" spans="1:16" ht="12.75">
      <c r="A147" s="6"/>
      <c r="B147" s="15" t="s">
        <v>151</v>
      </c>
      <c r="C147" s="168" t="s">
        <v>373</v>
      </c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70"/>
      <c r="P147" s="6"/>
    </row>
    <row r="148" spans="1:16" ht="12.75">
      <c r="A148" s="91"/>
      <c r="B148" s="94"/>
      <c r="C148" s="93" t="s">
        <v>18</v>
      </c>
      <c r="E148" s="95"/>
      <c r="F148" s="94"/>
      <c r="G148" s="97">
        <v>12</v>
      </c>
      <c r="H148" s="94"/>
      <c r="I148" s="94"/>
      <c r="J148" s="94"/>
      <c r="K148" s="94"/>
      <c r="L148" s="94"/>
      <c r="M148" s="90"/>
      <c r="N148" s="99"/>
      <c r="O148" s="87"/>
      <c r="P148" s="85"/>
    </row>
    <row r="149" spans="1:16" ht="25.5" customHeight="1">
      <c r="A149" s="6"/>
      <c r="B149" s="16" t="s">
        <v>137</v>
      </c>
      <c r="C149" s="165" t="s">
        <v>374</v>
      </c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7"/>
      <c r="P149" s="6"/>
    </row>
    <row r="150" spans="1:64" ht="12.75">
      <c r="A150" s="80" t="s">
        <v>44</v>
      </c>
      <c r="B150" s="80" t="s">
        <v>178</v>
      </c>
      <c r="C150" s="162" t="s">
        <v>375</v>
      </c>
      <c r="D150" s="157"/>
      <c r="E150" s="164"/>
      <c r="F150" s="80" t="s">
        <v>653</v>
      </c>
      <c r="G150" s="83">
        <v>12</v>
      </c>
      <c r="H150" s="83">
        <v>0</v>
      </c>
      <c r="I150" s="83">
        <f>G150*AO150</f>
        <v>0</v>
      </c>
      <c r="J150" s="83">
        <f>G150*AP150</f>
        <v>0</v>
      </c>
      <c r="K150" s="83">
        <f>G150*H150</f>
        <v>0</v>
      </c>
      <c r="L150" s="83">
        <v>0.021</v>
      </c>
      <c r="M150" s="82">
        <v>0</v>
      </c>
      <c r="N150" s="84">
        <v>0.021</v>
      </c>
      <c r="O150" s="82">
        <f>G150*N150</f>
        <v>0.252</v>
      </c>
      <c r="P150" s="85"/>
      <c r="Z150" s="36">
        <f>IF(AQ150="5",BJ150,0)</f>
        <v>0</v>
      </c>
      <c r="AB150" s="36">
        <f>IF(AQ150="1",BH150,0)</f>
        <v>0</v>
      </c>
      <c r="AC150" s="36">
        <f>IF(AQ150="1",BI150,0)</f>
        <v>0</v>
      </c>
      <c r="AD150" s="36">
        <f>IF(AQ150="7",BH150,0)</f>
        <v>0</v>
      </c>
      <c r="AE150" s="36">
        <f>IF(AQ150="7",BI150,0)</f>
        <v>0</v>
      </c>
      <c r="AF150" s="36">
        <f>IF(AQ150="2",BH150,0)</f>
        <v>0</v>
      </c>
      <c r="AG150" s="36">
        <f>IF(AQ150="2",BI150,0)</f>
        <v>0</v>
      </c>
      <c r="AH150" s="36">
        <f>IF(AQ150="0",BJ150,0)</f>
        <v>0</v>
      </c>
      <c r="AI150" s="34" t="s">
        <v>691</v>
      </c>
      <c r="AJ150" s="24">
        <f>IF(AN150=0,K150,0)</f>
        <v>0</v>
      </c>
      <c r="AK150" s="24">
        <f>IF(AN150=15,K150,0)</f>
        <v>0</v>
      </c>
      <c r="AL150" s="24">
        <f>IF(AN150=21,K150,0)</f>
        <v>0</v>
      </c>
      <c r="AN150" s="36">
        <v>21</v>
      </c>
      <c r="AO150" s="36">
        <f>H150*0.557153846153846</f>
        <v>0</v>
      </c>
      <c r="AP150" s="36">
        <f>H150*(1-0.557153846153846)</f>
        <v>0</v>
      </c>
      <c r="AQ150" s="37" t="s">
        <v>7</v>
      </c>
      <c r="AV150" s="36">
        <f>AW150+AX150</f>
        <v>0</v>
      </c>
      <c r="AW150" s="36">
        <f>G150*AO150</f>
        <v>0</v>
      </c>
      <c r="AX150" s="36">
        <f>G150*AP150</f>
        <v>0</v>
      </c>
      <c r="AY150" s="39" t="s">
        <v>700</v>
      </c>
      <c r="AZ150" s="39" t="s">
        <v>724</v>
      </c>
      <c r="BA150" s="34" t="s">
        <v>735</v>
      </c>
      <c r="BC150" s="36">
        <f>AW150+AX150</f>
        <v>0</v>
      </c>
      <c r="BD150" s="36">
        <f>H150/(100-BE150)*100</f>
        <v>0</v>
      </c>
      <c r="BE150" s="36">
        <v>0</v>
      </c>
      <c r="BF150" s="36">
        <f>O150</f>
        <v>0.252</v>
      </c>
      <c r="BH150" s="24">
        <f>G150*AO150</f>
        <v>0</v>
      </c>
      <c r="BI150" s="24">
        <f>G150*AP150</f>
        <v>0</v>
      </c>
      <c r="BJ150" s="24">
        <f>G150*H150</f>
        <v>0</v>
      </c>
      <c r="BK150" s="24" t="s">
        <v>740</v>
      </c>
      <c r="BL150" s="36">
        <v>62</v>
      </c>
    </row>
    <row r="151" spans="1:16" ht="12.75">
      <c r="A151" s="6"/>
      <c r="B151" s="15" t="s">
        <v>151</v>
      </c>
      <c r="C151" s="168" t="s">
        <v>376</v>
      </c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70"/>
      <c r="P151" s="6"/>
    </row>
    <row r="152" spans="1:16" ht="12.75">
      <c r="A152" s="91"/>
      <c r="B152" s="94"/>
      <c r="C152" s="93" t="s">
        <v>18</v>
      </c>
      <c r="E152" s="95"/>
      <c r="F152" s="94"/>
      <c r="G152" s="97">
        <v>12</v>
      </c>
      <c r="H152" s="94"/>
      <c r="I152" s="94"/>
      <c r="J152" s="94"/>
      <c r="K152" s="94"/>
      <c r="L152" s="94"/>
      <c r="M152" s="90"/>
      <c r="N152" s="99"/>
      <c r="O152" s="87"/>
      <c r="P152" s="85"/>
    </row>
    <row r="153" spans="1:16" ht="25.5" customHeight="1">
      <c r="A153" s="6"/>
      <c r="B153" s="16" t="s">
        <v>137</v>
      </c>
      <c r="C153" s="165" t="s">
        <v>377</v>
      </c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7"/>
      <c r="P153" s="6"/>
    </row>
    <row r="154" spans="1:64" ht="12.75">
      <c r="A154" s="80" t="s">
        <v>45</v>
      </c>
      <c r="B154" s="80" t="s">
        <v>179</v>
      </c>
      <c r="C154" s="162" t="s">
        <v>378</v>
      </c>
      <c r="D154" s="157"/>
      <c r="E154" s="164"/>
      <c r="F154" s="80" t="s">
        <v>653</v>
      </c>
      <c r="G154" s="83">
        <v>12</v>
      </c>
      <c r="H154" s="83">
        <v>0</v>
      </c>
      <c r="I154" s="83">
        <f>G154*AO154</f>
        <v>0</v>
      </c>
      <c r="J154" s="83">
        <f>G154*AP154</f>
        <v>0</v>
      </c>
      <c r="K154" s="83">
        <f>G154*H154</f>
        <v>0</v>
      </c>
      <c r="L154" s="83">
        <v>0.0105</v>
      </c>
      <c r="M154" s="82">
        <v>0</v>
      </c>
      <c r="N154" s="84">
        <v>0.0105</v>
      </c>
      <c r="O154" s="82">
        <f>G154*N154</f>
        <v>0.126</v>
      </c>
      <c r="P154" s="85"/>
      <c r="Z154" s="36">
        <f>IF(AQ154="5",BJ154,0)</f>
        <v>0</v>
      </c>
      <c r="AB154" s="36">
        <f>IF(AQ154="1",BH154,0)</f>
        <v>0</v>
      </c>
      <c r="AC154" s="36">
        <f>IF(AQ154="1",BI154,0)</f>
        <v>0</v>
      </c>
      <c r="AD154" s="36">
        <f>IF(AQ154="7",BH154,0)</f>
        <v>0</v>
      </c>
      <c r="AE154" s="36">
        <f>IF(AQ154="7",BI154,0)</f>
        <v>0</v>
      </c>
      <c r="AF154" s="36">
        <f>IF(AQ154="2",BH154,0)</f>
        <v>0</v>
      </c>
      <c r="AG154" s="36">
        <f>IF(AQ154="2",BI154,0)</f>
        <v>0</v>
      </c>
      <c r="AH154" s="36">
        <f>IF(AQ154="0",BJ154,0)</f>
        <v>0</v>
      </c>
      <c r="AI154" s="34" t="s">
        <v>691</v>
      </c>
      <c r="AJ154" s="24">
        <f>IF(AN154=0,K154,0)</f>
        <v>0</v>
      </c>
      <c r="AK154" s="24">
        <f>IF(AN154=15,K154,0)</f>
        <v>0</v>
      </c>
      <c r="AL154" s="24">
        <f>IF(AN154=21,K154,0)</f>
        <v>0</v>
      </c>
      <c r="AN154" s="36">
        <v>21</v>
      </c>
      <c r="AO154" s="36">
        <f>H154*0.4420700152207</f>
        <v>0</v>
      </c>
      <c r="AP154" s="36">
        <f>H154*(1-0.4420700152207)</f>
        <v>0</v>
      </c>
      <c r="AQ154" s="37" t="s">
        <v>7</v>
      </c>
      <c r="AV154" s="36">
        <f>AW154+AX154</f>
        <v>0</v>
      </c>
      <c r="AW154" s="36">
        <f>G154*AO154</f>
        <v>0</v>
      </c>
      <c r="AX154" s="36">
        <f>G154*AP154</f>
        <v>0</v>
      </c>
      <c r="AY154" s="39" t="s">
        <v>700</v>
      </c>
      <c r="AZ154" s="39" t="s">
        <v>724</v>
      </c>
      <c r="BA154" s="34" t="s">
        <v>735</v>
      </c>
      <c r="BC154" s="36">
        <f>AW154+AX154</f>
        <v>0</v>
      </c>
      <c r="BD154" s="36">
        <f>H154/(100-BE154)*100</f>
        <v>0</v>
      </c>
      <c r="BE154" s="36">
        <v>0</v>
      </c>
      <c r="BF154" s="36">
        <f>O154</f>
        <v>0.126</v>
      </c>
      <c r="BH154" s="24">
        <f>G154*AO154</f>
        <v>0</v>
      </c>
      <c r="BI154" s="24">
        <f>G154*AP154</f>
        <v>0</v>
      </c>
      <c r="BJ154" s="24">
        <f>G154*H154</f>
        <v>0</v>
      </c>
      <c r="BK154" s="24" t="s">
        <v>740</v>
      </c>
      <c r="BL154" s="36">
        <v>62</v>
      </c>
    </row>
    <row r="155" spans="1:16" ht="12.75">
      <c r="A155" s="6"/>
      <c r="B155" s="15" t="s">
        <v>151</v>
      </c>
      <c r="C155" s="168" t="s">
        <v>379</v>
      </c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70"/>
      <c r="P155" s="6"/>
    </row>
    <row r="156" spans="1:16" ht="12.75">
      <c r="A156" s="91"/>
      <c r="B156" s="94"/>
      <c r="C156" s="93" t="s">
        <v>18</v>
      </c>
      <c r="E156" s="95"/>
      <c r="F156" s="94"/>
      <c r="G156" s="97">
        <v>12</v>
      </c>
      <c r="H156" s="94"/>
      <c r="I156" s="94"/>
      <c r="J156" s="94"/>
      <c r="K156" s="94"/>
      <c r="L156" s="94"/>
      <c r="M156" s="90"/>
      <c r="N156" s="99"/>
      <c r="O156" s="87"/>
      <c r="P156" s="85"/>
    </row>
    <row r="157" spans="1:16" ht="25.5" customHeight="1">
      <c r="A157" s="6"/>
      <c r="B157" s="16" t="s">
        <v>137</v>
      </c>
      <c r="C157" s="165" t="s">
        <v>380</v>
      </c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7"/>
      <c r="P157" s="6"/>
    </row>
    <row r="158" spans="1:64" ht="12.75">
      <c r="A158" s="88" t="s">
        <v>46</v>
      </c>
      <c r="B158" s="88" t="s">
        <v>180</v>
      </c>
      <c r="C158" s="156" t="s">
        <v>381</v>
      </c>
      <c r="D158" s="157"/>
      <c r="E158" s="158"/>
      <c r="F158" s="88" t="s">
        <v>653</v>
      </c>
      <c r="G158" s="96">
        <v>2.6</v>
      </c>
      <c r="H158" s="96">
        <v>0</v>
      </c>
      <c r="I158" s="96">
        <f>G158*AO158</f>
        <v>0</v>
      </c>
      <c r="J158" s="96">
        <f>G158*AP158</f>
        <v>0</v>
      </c>
      <c r="K158" s="96">
        <f>G158*H158</f>
        <v>0</v>
      </c>
      <c r="L158" s="96">
        <v>0</v>
      </c>
      <c r="M158" s="81">
        <v>0</v>
      </c>
      <c r="N158" s="98">
        <v>0</v>
      </c>
      <c r="O158" s="81">
        <f>G158*N158</f>
        <v>0</v>
      </c>
      <c r="P158" s="85"/>
      <c r="Z158" s="36">
        <f>IF(AQ158="5",BJ158,0)</f>
        <v>0</v>
      </c>
      <c r="AB158" s="36">
        <f>IF(AQ158="1",BH158,0)</f>
        <v>0</v>
      </c>
      <c r="AC158" s="36">
        <f>IF(AQ158="1",BI158,0)</f>
        <v>0</v>
      </c>
      <c r="AD158" s="36">
        <f>IF(AQ158="7",BH158,0)</f>
        <v>0</v>
      </c>
      <c r="AE158" s="36">
        <f>IF(AQ158="7",BI158,0)</f>
        <v>0</v>
      </c>
      <c r="AF158" s="36">
        <f>IF(AQ158="2",BH158,0)</f>
        <v>0</v>
      </c>
      <c r="AG158" s="36">
        <f>IF(AQ158="2",BI158,0)</f>
        <v>0</v>
      </c>
      <c r="AH158" s="36">
        <f>IF(AQ158="0",BJ158,0)</f>
        <v>0</v>
      </c>
      <c r="AI158" s="34" t="s">
        <v>691</v>
      </c>
      <c r="AJ158" s="24">
        <f>IF(AN158=0,K158,0)</f>
        <v>0</v>
      </c>
      <c r="AK158" s="24">
        <f>IF(AN158=15,K158,0)</f>
        <v>0</v>
      </c>
      <c r="AL158" s="24">
        <f>IF(AN158=21,K158,0)</f>
        <v>0</v>
      </c>
      <c r="AN158" s="36">
        <v>21</v>
      </c>
      <c r="AO158" s="36">
        <f>H158*0.00274293752197867</f>
        <v>0</v>
      </c>
      <c r="AP158" s="36">
        <f>H158*(1-0.00274293752197867)</f>
        <v>0</v>
      </c>
      <c r="AQ158" s="37" t="s">
        <v>7</v>
      </c>
      <c r="AV158" s="36">
        <f>AW158+AX158</f>
        <v>0</v>
      </c>
      <c r="AW158" s="36">
        <f>G158*AO158</f>
        <v>0</v>
      </c>
      <c r="AX158" s="36">
        <f>G158*AP158</f>
        <v>0</v>
      </c>
      <c r="AY158" s="39" t="s">
        <v>700</v>
      </c>
      <c r="AZ158" s="39" t="s">
        <v>724</v>
      </c>
      <c r="BA158" s="34" t="s">
        <v>735</v>
      </c>
      <c r="BC158" s="36">
        <f>AW158+AX158</f>
        <v>0</v>
      </c>
      <c r="BD158" s="36">
        <f>H158/(100-BE158)*100</f>
        <v>0</v>
      </c>
      <c r="BE158" s="36">
        <v>0</v>
      </c>
      <c r="BF158" s="36">
        <f>O158</f>
        <v>0</v>
      </c>
      <c r="BH158" s="24">
        <f>G158*AO158</f>
        <v>0</v>
      </c>
      <c r="BI158" s="24">
        <f>G158*AP158</f>
        <v>0</v>
      </c>
      <c r="BJ158" s="24">
        <f>G158*H158</f>
        <v>0</v>
      </c>
      <c r="BK158" s="24" t="s">
        <v>740</v>
      </c>
      <c r="BL158" s="36">
        <v>62</v>
      </c>
    </row>
    <row r="159" spans="1:16" ht="12.75">
      <c r="A159" s="91"/>
      <c r="B159" s="94"/>
      <c r="C159" s="93" t="s">
        <v>382</v>
      </c>
      <c r="E159" s="95" t="s">
        <v>602</v>
      </c>
      <c r="F159" s="94"/>
      <c r="G159" s="97">
        <v>2.6</v>
      </c>
      <c r="H159" s="94"/>
      <c r="I159" s="94"/>
      <c r="J159" s="94"/>
      <c r="K159" s="94"/>
      <c r="L159" s="94"/>
      <c r="M159" s="90"/>
      <c r="N159" s="99"/>
      <c r="O159" s="87"/>
      <c r="P159" s="85"/>
    </row>
    <row r="160" spans="1:16" ht="12.75">
      <c r="A160" s="6"/>
      <c r="B160" s="16" t="s">
        <v>137</v>
      </c>
      <c r="C160" s="165" t="s">
        <v>383</v>
      </c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7"/>
      <c r="P160" s="6"/>
    </row>
    <row r="161" spans="1:64" ht="12.75">
      <c r="A161" s="80" t="s">
        <v>47</v>
      </c>
      <c r="B161" s="80" t="s">
        <v>181</v>
      </c>
      <c r="C161" s="162" t="s">
        <v>384</v>
      </c>
      <c r="D161" s="157"/>
      <c r="E161" s="164"/>
      <c r="F161" s="80" t="s">
        <v>653</v>
      </c>
      <c r="G161" s="83">
        <v>14.6</v>
      </c>
      <c r="H161" s="83">
        <v>0</v>
      </c>
      <c r="I161" s="83">
        <f>G161*AO161</f>
        <v>0</v>
      </c>
      <c r="J161" s="83">
        <f>G161*AP161</f>
        <v>0</v>
      </c>
      <c r="K161" s="83">
        <f>G161*H161</f>
        <v>0</v>
      </c>
      <c r="L161" s="83">
        <v>0.00072</v>
      </c>
      <c r="M161" s="82">
        <v>0</v>
      </c>
      <c r="N161" s="84">
        <v>0.00072</v>
      </c>
      <c r="O161" s="82">
        <f>G161*N161</f>
        <v>0.010512</v>
      </c>
      <c r="P161" s="85"/>
      <c r="Z161" s="36">
        <f>IF(AQ161="5",BJ161,0)</f>
        <v>0</v>
      </c>
      <c r="AB161" s="36">
        <f>IF(AQ161="1",BH161,0)</f>
        <v>0</v>
      </c>
      <c r="AC161" s="36">
        <f>IF(AQ161="1",BI161,0)</f>
        <v>0</v>
      </c>
      <c r="AD161" s="36">
        <f>IF(AQ161="7",BH161,0)</f>
        <v>0</v>
      </c>
      <c r="AE161" s="36">
        <f>IF(AQ161="7",BI161,0)</f>
        <v>0</v>
      </c>
      <c r="AF161" s="36">
        <f>IF(AQ161="2",BH161,0)</f>
        <v>0</v>
      </c>
      <c r="AG161" s="36">
        <f>IF(AQ161="2",BI161,0)</f>
        <v>0</v>
      </c>
      <c r="AH161" s="36">
        <f>IF(AQ161="0",BJ161,0)</f>
        <v>0</v>
      </c>
      <c r="AI161" s="34" t="s">
        <v>691</v>
      </c>
      <c r="AJ161" s="24">
        <f>IF(AN161=0,K161,0)</f>
        <v>0</v>
      </c>
      <c r="AK161" s="24">
        <f>IF(AN161=15,K161,0)</f>
        <v>0</v>
      </c>
      <c r="AL161" s="24">
        <f>IF(AN161=21,K161,0)</f>
        <v>0</v>
      </c>
      <c r="AN161" s="36">
        <v>21</v>
      </c>
      <c r="AO161" s="36">
        <f>H161*0.608376623376623</f>
        <v>0</v>
      </c>
      <c r="AP161" s="36">
        <f>H161*(1-0.608376623376623)</f>
        <v>0</v>
      </c>
      <c r="AQ161" s="37" t="s">
        <v>7</v>
      </c>
      <c r="AV161" s="36">
        <f>AW161+AX161</f>
        <v>0</v>
      </c>
      <c r="AW161" s="36">
        <f>G161*AO161</f>
        <v>0</v>
      </c>
      <c r="AX161" s="36">
        <f>G161*AP161</f>
        <v>0</v>
      </c>
      <c r="AY161" s="39" t="s">
        <v>700</v>
      </c>
      <c r="AZ161" s="39" t="s">
        <v>724</v>
      </c>
      <c r="BA161" s="34" t="s">
        <v>735</v>
      </c>
      <c r="BC161" s="36">
        <f>AW161+AX161</f>
        <v>0</v>
      </c>
      <c r="BD161" s="36">
        <f>H161/(100-BE161)*100</f>
        <v>0</v>
      </c>
      <c r="BE161" s="36">
        <v>0</v>
      </c>
      <c r="BF161" s="36">
        <f>O161</f>
        <v>0.010512</v>
      </c>
      <c r="BH161" s="24">
        <f>G161*AO161</f>
        <v>0</v>
      </c>
      <c r="BI161" s="24">
        <f>G161*AP161</f>
        <v>0</v>
      </c>
      <c r="BJ161" s="24">
        <f>G161*H161</f>
        <v>0</v>
      </c>
      <c r="BK161" s="24" t="s">
        <v>740</v>
      </c>
      <c r="BL161" s="36">
        <v>62</v>
      </c>
    </row>
    <row r="162" spans="1:16" ht="12.75">
      <c r="A162" s="6"/>
      <c r="B162" s="15" t="s">
        <v>151</v>
      </c>
      <c r="C162" s="168" t="s">
        <v>385</v>
      </c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70"/>
      <c r="P162" s="6"/>
    </row>
    <row r="163" spans="1:16" ht="12.75">
      <c r="A163" s="91"/>
      <c r="B163" s="94"/>
      <c r="C163" s="93" t="s">
        <v>386</v>
      </c>
      <c r="E163" s="95" t="s">
        <v>601</v>
      </c>
      <c r="F163" s="94"/>
      <c r="G163" s="97">
        <v>14.6</v>
      </c>
      <c r="H163" s="94"/>
      <c r="I163" s="94"/>
      <c r="J163" s="94"/>
      <c r="K163" s="94"/>
      <c r="L163" s="94"/>
      <c r="M163" s="90"/>
      <c r="N163" s="99"/>
      <c r="O163" s="87"/>
      <c r="P163" s="85"/>
    </row>
    <row r="164" spans="1:16" ht="12.75">
      <c r="A164" s="6"/>
      <c r="B164" s="16" t="s">
        <v>137</v>
      </c>
      <c r="C164" s="165" t="s">
        <v>387</v>
      </c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7"/>
      <c r="P164" s="6"/>
    </row>
    <row r="165" spans="1:47" ht="12.75">
      <c r="A165" s="4"/>
      <c r="B165" s="13" t="s">
        <v>182</v>
      </c>
      <c r="C165" s="160" t="s">
        <v>388</v>
      </c>
      <c r="D165" s="161"/>
      <c r="E165" s="161"/>
      <c r="F165" s="22" t="s">
        <v>6</v>
      </c>
      <c r="G165" s="22" t="s">
        <v>6</v>
      </c>
      <c r="H165" s="22" t="s">
        <v>6</v>
      </c>
      <c r="I165" s="43">
        <f>SUM(I166:I214)</f>
        <v>0</v>
      </c>
      <c r="J165" s="43">
        <f>SUM(J166:J214)</f>
        <v>0</v>
      </c>
      <c r="K165" s="43">
        <f>SUM(K166:K214)</f>
        <v>0</v>
      </c>
      <c r="L165" s="34"/>
      <c r="M165" s="34"/>
      <c r="N165" s="34"/>
      <c r="O165" s="46">
        <f>SUM(O166:O214)</f>
        <v>1.30622962</v>
      </c>
      <c r="P165" s="6"/>
      <c r="AI165" s="34" t="s">
        <v>691</v>
      </c>
      <c r="AS165" s="43">
        <f>SUM(AJ166:AJ214)</f>
        <v>0</v>
      </c>
      <c r="AT165" s="43">
        <f>SUM(AK166:AK214)</f>
        <v>0</v>
      </c>
      <c r="AU165" s="43">
        <f>SUM(AL166:AL214)</f>
        <v>0</v>
      </c>
    </row>
    <row r="166" spans="1:64" ht="12.75">
      <c r="A166" s="88" t="s">
        <v>48</v>
      </c>
      <c r="B166" s="88" t="s">
        <v>176</v>
      </c>
      <c r="C166" s="156" t="s">
        <v>370</v>
      </c>
      <c r="D166" s="157"/>
      <c r="E166" s="158"/>
      <c r="F166" s="88" t="s">
        <v>653</v>
      </c>
      <c r="G166" s="96">
        <v>17.85</v>
      </c>
      <c r="H166" s="96">
        <v>0</v>
      </c>
      <c r="I166" s="96">
        <f>G166*AO166</f>
        <v>0</v>
      </c>
      <c r="J166" s="96">
        <f>G166*AP166</f>
        <v>0</v>
      </c>
      <c r="K166" s="96">
        <f>G166*H166</f>
        <v>0</v>
      </c>
      <c r="L166" s="96">
        <v>0.0005</v>
      </c>
      <c r="M166" s="81">
        <v>0</v>
      </c>
      <c r="N166" s="98">
        <v>0.0005</v>
      </c>
      <c r="O166" s="81">
        <f>G166*N166</f>
        <v>0.008925</v>
      </c>
      <c r="P166" s="85"/>
      <c r="Z166" s="36">
        <f>IF(AQ166="5",BJ166,0)</f>
        <v>0</v>
      </c>
      <c r="AB166" s="36">
        <f>IF(AQ166="1",BH166,0)</f>
        <v>0</v>
      </c>
      <c r="AC166" s="36">
        <f>IF(AQ166="1",BI166,0)</f>
        <v>0</v>
      </c>
      <c r="AD166" s="36">
        <f>IF(AQ166="7",BH166,0)</f>
        <v>0</v>
      </c>
      <c r="AE166" s="36">
        <f>IF(AQ166="7",BI166,0)</f>
        <v>0</v>
      </c>
      <c r="AF166" s="36">
        <f>IF(AQ166="2",BH166,0)</f>
        <v>0</v>
      </c>
      <c r="AG166" s="36">
        <f>IF(AQ166="2",BI166,0)</f>
        <v>0</v>
      </c>
      <c r="AH166" s="36">
        <f>IF(AQ166="0",BJ166,0)</f>
        <v>0</v>
      </c>
      <c r="AI166" s="34" t="s">
        <v>691</v>
      </c>
      <c r="AJ166" s="24">
        <f>IF(AN166=0,K166,0)</f>
        <v>0</v>
      </c>
      <c r="AK166" s="24">
        <f>IF(AN166=15,K166,0)</f>
        <v>0</v>
      </c>
      <c r="AL166" s="24">
        <f>IF(AN166=21,K166,0)</f>
        <v>0</v>
      </c>
      <c r="AN166" s="36">
        <v>21</v>
      </c>
      <c r="AO166" s="36">
        <f>H166*0.693409090909091</f>
        <v>0</v>
      </c>
      <c r="AP166" s="36">
        <f>H166*(1-0.693409090909091)</f>
        <v>0</v>
      </c>
      <c r="AQ166" s="37" t="s">
        <v>13</v>
      </c>
      <c r="AV166" s="36">
        <f>AW166+AX166</f>
        <v>0</v>
      </c>
      <c r="AW166" s="36">
        <f>G166*AO166</f>
        <v>0</v>
      </c>
      <c r="AX166" s="36">
        <f>G166*AP166</f>
        <v>0</v>
      </c>
      <c r="AY166" s="39" t="s">
        <v>701</v>
      </c>
      <c r="AZ166" s="39" t="s">
        <v>725</v>
      </c>
      <c r="BA166" s="34" t="s">
        <v>735</v>
      </c>
      <c r="BC166" s="36">
        <f>AW166+AX166</f>
        <v>0</v>
      </c>
      <c r="BD166" s="36">
        <f>H166/(100-BE166)*100</f>
        <v>0</v>
      </c>
      <c r="BE166" s="36">
        <v>0</v>
      </c>
      <c r="BF166" s="36">
        <f>O166</f>
        <v>0.008925</v>
      </c>
      <c r="BH166" s="24">
        <f>G166*AO166</f>
        <v>0</v>
      </c>
      <c r="BI166" s="24">
        <f>G166*AP166</f>
        <v>0</v>
      </c>
      <c r="BJ166" s="24">
        <f>G166*H166</f>
        <v>0</v>
      </c>
      <c r="BK166" s="24" t="s">
        <v>740</v>
      </c>
      <c r="BL166" s="36">
        <v>711</v>
      </c>
    </row>
    <row r="167" spans="1:16" ht="12.75">
      <c r="A167" s="100"/>
      <c r="B167" s="101"/>
      <c r="C167" s="92" t="s">
        <v>365</v>
      </c>
      <c r="E167" s="102" t="s">
        <v>599</v>
      </c>
      <c r="F167" s="101"/>
      <c r="G167" s="103">
        <v>10.6</v>
      </c>
      <c r="H167" s="101"/>
      <c r="I167" s="101"/>
      <c r="J167" s="101"/>
      <c r="K167" s="101"/>
      <c r="L167" s="101"/>
      <c r="M167" s="89"/>
      <c r="N167" s="104"/>
      <c r="O167" s="86"/>
      <c r="P167" s="85"/>
    </row>
    <row r="168" spans="1:16" ht="12.75">
      <c r="A168" s="91"/>
      <c r="B168" s="94"/>
      <c r="C168" s="93" t="s">
        <v>366</v>
      </c>
      <c r="E168" s="95" t="s">
        <v>600</v>
      </c>
      <c r="F168" s="94"/>
      <c r="G168" s="97">
        <v>7.25</v>
      </c>
      <c r="H168" s="94"/>
      <c r="I168" s="94"/>
      <c r="J168" s="94"/>
      <c r="K168" s="94"/>
      <c r="L168" s="94"/>
      <c r="M168" s="90"/>
      <c r="N168" s="99"/>
      <c r="O168" s="87"/>
      <c r="P168" s="85"/>
    </row>
    <row r="169" spans="1:16" ht="25.5" customHeight="1">
      <c r="A169" s="6"/>
      <c r="B169" s="16" t="s">
        <v>137</v>
      </c>
      <c r="C169" s="165" t="s">
        <v>389</v>
      </c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7"/>
      <c r="P169" s="6"/>
    </row>
    <row r="170" spans="1:64" ht="12.75">
      <c r="A170" s="80" t="s">
        <v>49</v>
      </c>
      <c r="B170" s="80" t="s">
        <v>177</v>
      </c>
      <c r="C170" s="162" t="s">
        <v>372</v>
      </c>
      <c r="D170" s="157"/>
      <c r="E170" s="164"/>
      <c r="F170" s="80" t="s">
        <v>653</v>
      </c>
      <c r="G170" s="83">
        <v>17.85</v>
      </c>
      <c r="H170" s="83">
        <v>0</v>
      </c>
      <c r="I170" s="83">
        <f>G170*AO170</f>
        <v>0</v>
      </c>
      <c r="J170" s="83">
        <f>G170*AP170</f>
        <v>0</v>
      </c>
      <c r="K170" s="83">
        <f>G170*H170</f>
        <v>0</v>
      </c>
      <c r="L170" s="83">
        <v>0.00672</v>
      </c>
      <c r="M170" s="82">
        <v>0</v>
      </c>
      <c r="N170" s="84">
        <v>0.00672</v>
      </c>
      <c r="O170" s="82">
        <f>G170*N170</f>
        <v>0.11995200000000002</v>
      </c>
      <c r="P170" s="85"/>
      <c r="Z170" s="36">
        <f>IF(AQ170="5",BJ170,0)</f>
        <v>0</v>
      </c>
      <c r="AB170" s="36">
        <f>IF(AQ170="1",BH170,0)</f>
        <v>0</v>
      </c>
      <c r="AC170" s="36">
        <f>IF(AQ170="1",BI170,0)</f>
        <v>0</v>
      </c>
      <c r="AD170" s="36">
        <f>IF(AQ170="7",BH170,0)</f>
        <v>0</v>
      </c>
      <c r="AE170" s="36">
        <f>IF(AQ170="7",BI170,0)</f>
        <v>0</v>
      </c>
      <c r="AF170" s="36">
        <f>IF(AQ170="2",BH170,0)</f>
        <v>0</v>
      </c>
      <c r="AG170" s="36">
        <f>IF(AQ170="2",BI170,0)</f>
        <v>0</v>
      </c>
      <c r="AH170" s="36">
        <f>IF(AQ170="0",BJ170,0)</f>
        <v>0</v>
      </c>
      <c r="AI170" s="34" t="s">
        <v>691</v>
      </c>
      <c r="AJ170" s="24">
        <f>IF(AN170=0,K170,0)</f>
        <v>0</v>
      </c>
      <c r="AK170" s="24">
        <f>IF(AN170=15,K170,0)</f>
        <v>0</v>
      </c>
      <c r="AL170" s="24">
        <f>IF(AN170=21,K170,0)</f>
        <v>0</v>
      </c>
      <c r="AN170" s="36">
        <v>21</v>
      </c>
      <c r="AO170" s="36">
        <f>H170*0.452248644953367</f>
        <v>0</v>
      </c>
      <c r="AP170" s="36">
        <f>H170*(1-0.452248644953367)</f>
        <v>0</v>
      </c>
      <c r="AQ170" s="37" t="s">
        <v>13</v>
      </c>
      <c r="AV170" s="36">
        <f>AW170+AX170</f>
        <v>0</v>
      </c>
      <c r="AW170" s="36">
        <f>G170*AO170</f>
        <v>0</v>
      </c>
      <c r="AX170" s="36">
        <f>G170*AP170</f>
        <v>0</v>
      </c>
      <c r="AY170" s="39" t="s">
        <v>701</v>
      </c>
      <c r="AZ170" s="39" t="s">
        <v>725</v>
      </c>
      <c r="BA170" s="34" t="s">
        <v>735</v>
      </c>
      <c r="BC170" s="36">
        <f>AW170+AX170</f>
        <v>0</v>
      </c>
      <c r="BD170" s="36">
        <f>H170/(100-BE170)*100</f>
        <v>0</v>
      </c>
      <c r="BE170" s="36">
        <v>0</v>
      </c>
      <c r="BF170" s="36">
        <f>O170</f>
        <v>0.11995200000000002</v>
      </c>
      <c r="BH170" s="24">
        <f>G170*AO170</f>
        <v>0</v>
      </c>
      <c r="BI170" s="24">
        <f>G170*AP170</f>
        <v>0</v>
      </c>
      <c r="BJ170" s="24">
        <f>G170*H170</f>
        <v>0</v>
      </c>
      <c r="BK170" s="24" t="s">
        <v>740</v>
      </c>
      <c r="BL170" s="36">
        <v>711</v>
      </c>
    </row>
    <row r="171" spans="1:16" ht="12.75">
      <c r="A171" s="6"/>
      <c r="B171" s="15" t="s">
        <v>151</v>
      </c>
      <c r="C171" s="168" t="s">
        <v>373</v>
      </c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70"/>
      <c r="P171" s="6"/>
    </row>
    <row r="172" spans="1:16" ht="12.75">
      <c r="A172" s="100"/>
      <c r="B172" s="101"/>
      <c r="C172" s="92" t="s">
        <v>365</v>
      </c>
      <c r="E172" s="102" t="s">
        <v>599</v>
      </c>
      <c r="F172" s="101"/>
      <c r="G172" s="103">
        <v>10.6</v>
      </c>
      <c r="H172" s="101"/>
      <c r="I172" s="101"/>
      <c r="J172" s="101"/>
      <c r="K172" s="101"/>
      <c r="L172" s="101"/>
      <c r="M172" s="89"/>
      <c r="N172" s="104"/>
      <c r="O172" s="86"/>
      <c r="P172" s="85"/>
    </row>
    <row r="173" spans="1:16" ht="12.75">
      <c r="A173" s="91"/>
      <c r="B173" s="94"/>
      <c r="C173" s="93" t="s">
        <v>366</v>
      </c>
      <c r="E173" s="95" t="s">
        <v>600</v>
      </c>
      <c r="F173" s="94"/>
      <c r="G173" s="97">
        <v>7.25</v>
      </c>
      <c r="H173" s="94"/>
      <c r="I173" s="94"/>
      <c r="J173" s="94"/>
      <c r="K173" s="94"/>
      <c r="L173" s="94"/>
      <c r="M173" s="90"/>
      <c r="N173" s="99"/>
      <c r="O173" s="87"/>
      <c r="P173" s="85"/>
    </row>
    <row r="174" spans="1:16" ht="25.5" customHeight="1">
      <c r="A174" s="6"/>
      <c r="B174" s="16" t="s">
        <v>137</v>
      </c>
      <c r="C174" s="165" t="s">
        <v>390</v>
      </c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7"/>
      <c r="P174" s="6"/>
    </row>
    <row r="175" spans="1:64" ht="12.75">
      <c r="A175" s="80" t="s">
        <v>50</v>
      </c>
      <c r="B175" s="80" t="s">
        <v>179</v>
      </c>
      <c r="C175" s="162" t="s">
        <v>378</v>
      </c>
      <c r="D175" s="157"/>
      <c r="E175" s="164"/>
      <c r="F175" s="80" t="s">
        <v>653</v>
      </c>
      <c r="G175" s="83">
        <v>17.85</v>
      </c>
      <c r="H175" s="83">
        <v>0</v>
      </c>
      <c r="I175" s="83">
        <f>G175*AO175</f>
        <v>0</v>
      </c>
      <c r="J175" s="83">
        <f>G175*AP175</f>
        <v>0</v>
      </c>
      <c r="K175" s="83">
        <f>G175*H175</f>
        <v>0</v>
      </c>
      <c r="L175" s="83">
        <v>0.0105</v>
      </c>
      <c r="M175" s="82">
        <v>0</v>
      </c>
      <c r="N175" s="84">
        <v>0.0105</v>
      </c>
      <c r="O175" s="82">
        <f>G175*N175</f>
        <v>0.18742500000000004</v>
      </c>
      <c r="P175" s="85"/>
      <c r="Z175" s="36">
        <f>IF(AQ175="5",BJ175,0)</f>
        <v>0</v>
      </c>
      <c r="AB175" s="36">
        <f>IF(AQ175="1",BH175,0)</f>
        <v>0</v>
      </c>
      <c r="AC175" s="36">
        <f>IF(AQ175="1",BI175,0)</f>
        <v>0</v>
      </c>
      <c r="AD175" s="36">
        <f>IF(AQ175="7",BH175,0)</f>
        <v>0</v>
      </c>
      <c r="AE175" s="36">
        <f>IF(AQ175="7",BI175,0)</f>
        <v>0</v>
      </c>
      <c r="AF175" s="36">
        <f>IF(AQ175="2",BH175,0)</f>
        <v>0</v>
      </c>
      <c r="AG175" s="36">
        <f>IF(AQ175="2",BI175,0)</f>
        <v>0</v>
      </c>
      <c r="AH175" s="36">
        <f>IF(AQ175="0",BJ175,0)</f>
        <v>0</v>
      </c>
      <c r="AI175" s="34" t="s">
        <v>691</v>
      </c>
      <c r="AJ175" s="24">
        <f>IF(AN175=0,K175,0)</f>
        <v>0</v>
      </c>
      <c r="AK175" s="24">
        <f>IF(AN175=15,K175,0)</f>
        <v>0</v>
      </c>
      <c r="AL175" s="24">
        <f>IF(AN175=21,K175,0)</f>
        <v>0</v>
      </c>
      <c r="AN175" s="36">
        <v>21</v>
      </c>
      <c r="AO175" s="36">
        <f>H175*0.442069638267792</f>
        <v>0</v>
      </c>
      <c r="AP175" s="36">
        <f>H175*(1-0.442069638267792)</f>
        <v>0</v>
      </c>
      <c r="AQ175" s="37" t="s">
        <v>13</v>
      </c>
      <c r="AV175" s="36">
        <f>AW175+AX175</f>
        <v>0</v>
      </c>
      <c r="AW175" s="36">
        <f>G175*AO175</f>
        <v>0</v>
      </c>
      <c r="AX175" s="36">
        <f>G175*AP175</f>
        <v>0</v>
      </c>
      <c r="AY175" s="39" t="s">
        <v>701</v>
      </c>
      <c r="AZ175" s="39" t="s">
        <v>725</v>
      </c>
      <c r="BA175" s="34" t="s">
        <v>735</v>
      </c>
      <c r="BC175" s="36">
        <f>AW175+AX175</f>
        <v>0</v>
      </c>
      <c r="BD175" s="36">
        <f>H175/(100-BE175)*100</f>
        <v>0</v>
      </c>
      <c r="BE175" s="36">
        <v>0</v>
      </c>
      <c r="BF175" s="36">
        <f>O175</f>
        <v>0.18742500000000004</v>
      </c>
      <c r="BH175" s="24">
        <f>G175*AO175</f>
        <v>0</v>
      </c>
      <c r="BI175" s="24">
        <f>G175*AP175</f>
        <v>0</v>
      </c>
      <c r="BJ175" s="24">
        <f>G175*H175</f>
        <v>0</v>
      </c>
      <c r="BK175" s="24" t="s">
        <v>740</v>
      </c>
      <c r="BL175" s="36">
        <v>711</v>
      </c>
    </row>
    <row r="176" spans="1:16" ht="12.75">
      <c r="A176" s="6"/>
      <c r="B176" s="15" t="s">
        <v>151</v>
      </c>
      <c r="C176" s="168" t="s">
        <v>379</v>
      </c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70"/>
      <c r="P176" s="6"/>
    </row>
    <row r="177" spans="1:16" ht="12.75">
      <c r="A177" s="100"/>
      <c r="B177" s="101"/>
      <c r="C177" s="92" t="s">
        <v>365</v>
      </c>
      <c r="E177" s="102" t="s">
        <v>599</v>
      </c>
      <c r="F177" s="101"/>
      <c r="G177" s="103">
        <v>10.6</v>
      </c>
      <c r="H177" s="101"/>
      <c r="I177" s="101"/>
      <c r="J177" s="101"/>
      <c r="K177" s="101"/>
      <c r="L177" s="101"/>
      <c r="M177" s="89"/>
      <c r="N177" s="104"/>
      <c r="O177" s="86"/>
      <c r="P177" s="85"/>
    </row>
    <row r="178" spans="1:16" ht="12.75">
      <c r="A178" s="91"/>
      <c r="B178" s="94"/>
      <c r="C178" s="93" t="s">
        <v>366</v>
      </c>
      <c r="E178" s="95" t="s">
        <v>600</v>
      </c>
      <c r="F178" s="94"/>
      <c r="G178" s="97">
        <v>7.25</v>
      </c>
      <c r="H178" s="94"/>
      <c r="I178" s="94"/>
      <c r="J178" s="94"/>
      <c r="K178" s="94"/>
      <c r="L178" s="94"/>
      <c r="M178" s="90"/>
      <c r="N178" s="99"/>
      <c r="O178" s="87"/>
      <c r="P178" s="85"/>
    </row>
    <row r="179" spans="1:16" ht="25.5" customHeight="1">
      <c r="A179" s="6"/>
      <c r="B179" s="16" t="s">
        <v>137</v>
      </c>
      <c r="C179" s="165" t="s">
        <v>391</v>
      </c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7"/>
      <c r="P179" s="6"/>
    </row>
    <row r="180" spans="1:64" ht="12.75">
      <c r="A180" s="88" t="s">
        <v>51</v>
      </c>
      <c r="B180" s="88" t="s">
        <v>183</v>
      </c>
      <c r="C180" s="156" t="s">
        <v>392</v>
      </c>
      <c r="D180" s="157"/>
      <c r="E180" s="158"/>
      <c r="F180" s="88" t="s">
        <v>653</v>
      </c>
      <c r="G180" s="96">
        <v>17.85</v>
      </c>
      <c r="H180" s="96">
        <v>0</v>
      </c>
      <c r="I180" s="96">
        <f>G180*AO180</f>
        <v>0</v>
      </c>
      <c r="J180" s="96">
        <f>G180*AP180</f>
        <v>0</v>
      </c>
      <c r="K180" s="96">
        <f>G180*H180</f>
        <v>0</v>
      </c>
      <c r="L180" s="96">
        <v>0</v>
      </c>
      <c r="M180" s="81">
        <v>0</v>
      </c>
      <c r="N180" s="98">
        <v>0</v>
      </c>
      <c r="O180" s="81">
        <f>G180*N180</f>
        <v>0</v>
      </c>
      <c r="P180" s="85"/>
      <c r="Z180" s="36">
        <f>IF(AQ180="5",BJ180,0)</f>
        <v>0</v>
      </c>
      <c r="AB180" s="36">
        <f>IF(AQ180="1",BH180,0)</f>
        <v>0</v>
      </c>
      <c r="AC180" s="36">
        <f>IF(AQ180="1",BI180,0)</f>
        <v>0</v>
      </c>
      <c r="AD180" s="36">
        <f>IF(AQ180="7",BH180,0)</f>
        <v>0</v>
      </c>
      <c r="AE180" s="36">
        <f>IF(AQ180="7",BI180,0)</f>
        <v>0</v>
      </c>
      <c r="AF180" s="36">
        <f>IF(AQ180="2",BH180,0)</f>
        <v>0</v>
      </c>
      <c r="AG180" s="36">
        <f>IF(AQ180="2",BI180,0)</f>
        <v>0</v>
      </c>
      <c r="AH180" s="36">
        <f>IF(AQ180="0",BJ180,0)</f>
        <v>0</v>
      </c>
      <c r="AI180" s="34" t="s">
        <v>691</v>
      </c>
      <c r="AJ180" s="24">
        <f>IF(AN180=0,K180,0)</f>
        <v>0</v>
      </c>
      <c r="AK180" s="24">
        <f>IF(AN180=15,K180,0)</f>
        <v>0</v>
      </c>
      <c r="AL180" s="24">
        <f>IF(AN180=21,K180,0)</f>
        <v>0</v>
      </c>
      <c r="AN180" s="36">
        <v>21</v>
      </c>
      <c r="AO180" s="36">
        <f>H180*0</f>
        <v>0</v>
      </c>
      <c r="AP180" s="36">
        <f>H180*(1-0)</f>
        <v>0</v>
      </c>
      <c r="AQ180" s="37" t="s">
        <v>13</v>
      </c>
      <c r="AV180" s="36">
        <f>AW180+AX180</f>
        <v>0</v>
      </c>
      <c r="AW180" s="36">
        <f>G180*AO180</f>
        <v>0</v>
      </c>
      <c r="AX180" s="36">
        <f>G180*AP180</f>
        <v>0</v>
      </c>
      <c r="AY180" s="39" t="s">
        <v>701</v>
      </c>
      <c r="AZ180" s="39" t="s">
        <v>725</v>
      </c>
      <c r="BA180" s="34" t="s">
        <v>735</v>
      </c>
      <c r="BC180" s="36">
        <f>AW180+AX180</f>
        <v>0</v>
      </c>
      <c r="BD180" s="36">
        <f>H180/(100-BE180)*100</f>
        <v>0</v>
      </c>
      <c r="BE180" s="36">
        <v>0</v>
      </c>
      <c r="BF180" s="36">
        <f>O180</f>
        <v>0</v>
      </c>
      <c r="BH180" s="24">
        <f>G180*AO180</f>
        <v>0</v>
      </c>
      <c r="BI180" s="24">
        <f>G180*AP180</f>
        <v>0</v>
      </c>
      <c r="BJ180" s="24">
        <f>G180*H180</f>
        <v>0</v>
      </c>
      <c r="BK180" s="24" t="s">
        <v>740</v>
      </c>
      <c r="BL180" s="36">
        <v>711</v>
      </c>
    </row>
    <row r="181" spans="1:16" ht="12.75">
      <c r="A181" s="100"/>
      <c r="B181" s="101"/>
      <c r="C181" s="92" t="s">
        <v>365</v>
      </c>
      <c r="E181" s="102" t="s">
        <v>599</v>
      </c>
      <c r="F181" s="101"/>
      <c r="G181" s="103">
        <v>10.6</v>
      </c>
      <c r="H181" s="101"/>
      <c r="I181" s="101"/>
      <c r="J181" s="101"/>
      <c r="K181" s="101"/>
      <c r="L181" s="101"/>
      <c r="M181" s="89"/>
      <c r="N181" s="104"/>
      <c r="O181" s="86"/>
      <c r="P181" s="85"/>
    </row>
    <row r="182" spans="1:16" ht="12.75">
      <c r="A182" s="91"/>
      <c r="B182" s="94"/>
      <c r="C182" s="93" t="s">
        <v>366</v>
      </c>
      <c r="E182" s="95" t="s">
        <v>600</v>
      </c>
      <c r="F182" s="94"/>
      <c r="G182" s="97">
        <v>7.25</v>
      </c>
      <c r="H182" s="94"/>
      <c r="I182" s="94"/>
      <c r="J182" s="94"/>
      <c r="K182" s="94"/>
      <c r="L182" s="94"/>
      <c r="M182" s="90"/>
      <c r="N182" s="99"/>
      <c r="O182" s="87"/>
      <c r="P182" s="85"/>
    </row>
    <row r="183" spans="1:16" ht="12.75">
      <c r="A183" s="6"/>
      <c r="B183" s="16" t="s">
        <v>137</v>
      </c>
      <c r="C183" s="165" t="s">
        <v>393</v>
      </c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7"/>
      <c r="P183" s="6"/>
    </row>
    <row r="184" spans="1:64" ht="12.75">
      <c r="A184" s="106" t="s">
        <v>52</v>
      </c>
      <c r="B184" s="106" t="s">
        <v>184</v>
      </c>
      <c r="C184" s="171" t="s">
        <v>394</v>
      </c>
      <c r="D184" s="172"/>
      <c r="E184" s="173"/>
      <c r="F184" s="106" t="s">
        <v>653</v>
      </c>
      <c r="G184" s="107">
        <v>21.42</v>
      </c>
      <c r="H184" s="107">
        <v>0</v>
      </c>
      <c r="I184" s="107">
        <f>G184*AO184</f>
        <v>0</v>
      </c>
      <c r="J184" s="107">
        <f>G184*AP184</f>
        <v>0</v>
      </c>
      <c r="K184" s="107">
        <f>G184*H184</f>
        <v>0</v>
      </c>
      <c r="L184" s="107">
        <v>0.00186</v>
      </c>
      <c r="M184" s="105">
        <v>0</v>
      </c>
      <c r="N184" s="108">
        <v>0.00186</v>
      </c>
      <c r="O184" s="105">
        <f>G184*N184</f>
        <v>0.03984120000000001</v>
      </c>
      <c r="P184" s="85"/>
      <c r="Z184" s="36">
        <f>IF(AQ184="5",BJ184,0)</f>
        <v>0</v>
      </c>
      <c r="AB184" s="36">
        <f>IF(AQ184="1",BH184,0)</f>
        <v>0</v>
      </c>
      <c r="AC184" s="36">
        <f>IF(AQ184="1",BI184,0)</f>
        <v>0</v>
      </c>
      <c r="AD184" s="36">
        <f>IF(AQ184="7",BH184,0)</f>
        <v>0</v>
      </c>
      <c r="AE184" s="36">
        <f>IF(AQ184="7",BI184,0)</f>
        <v>0</v>
      </c>
      <c r="AF184" s="36">
        <f>IF(AQ184="2",BH184,0)</f>
        <v>0</v>
      </c>
      <c r="AG184" s="36">
        <f>IF(AQ184="2",BI184,0)</f>
        <v>0</v>
      </c>
      <c r="AH184" s="36">
        <f>IF(AQ184="0",BJ184,0)</f>
        <v>0</v>
      </c>
      <c r="AI184" s="34" t="s">
        <v>691</v>
      </c>
      <c r="AJ184" s="26">
        <f>IF(AN184=0,K184,0)</f>
        <v>0</v>
      </c>
      <c r="AK184" s="26">
        <f>IF(AN184=15,K184,0)</f>
        <v>0</v>
      </c>
      <c r="AL184" s="26">
        <f>IF(AN184=21,K184,0)</f>
        <v>0</v>
      </c>
      <c r="AN184" s="36">
        <v>21</v>
      </c>
      <c r="AO184" s="36">
        <f>H184*1</f>
        <v>0</v>
      </c>
      <c r="AP184" s="36">
        <f>H184*(1-1)</f>
        <v>0</v>
      </c>
      <c r="AQ184" s="38" t="s">
        <v>13</v>
      </c>
      <c r="AV184" s="36">
        <f>AW184+AX184</f>
        <v>0</v>
      </c>
      <c r="AW184" s="36">
        <f>G184*AO184</f>
        <v>0</v>
      </c>
      <c r="AX184" s="36">
        <f>G184*AP184</f>
        <v>0</v>
      </c>
      <c r="AY184" s="39" t="s">
        <v>701</v>
      </c>
      <c r="AZ184" s="39" t="s">
        <v>725</v>
      </c>
      <c r="BA184" s="34" t="s">
        <v>735</v>
      </c>
      <c r="BC184" s="36">
        <f>AW184+AX184</f>
        <v>0</v>
      </c>
      <c r="BD184" s="36">
        <f>H184/(100-BE184)*100</f>
        <v>0</v>
      </c>
      <c r="BE184" s="36">
        <v>0</v>
      </c>
      <c r="BF184" s="36">
        <f>O184</f>
        <v>0.03984120000000001</v>
      </c>
      <c r="BH184" s="26">
        <f>G184*AO184</f>
        <v>0</v>
      </c>
      <c r="BI184" s="26">
        <f>G184*AP184</f>
        <v>0</v>
      </c>
      <c r="BJ184" s="26">
        <f>G184*H184</f>
        <v>0</v>
      </c>
      <c r="BK184" s="26" t="s">
        <v>741</v>
      </c>
      <c r="BL184" s="36">
        <v>711</v>
      </c>
    </row>
    <row r="185" spans="1:16" ht="12.75">
      <c r="A185" s="100"/>
      <c r="B185" s="101"/>
      <c r="C185" s="92" t="s">
        <v>365</v>
      </c>
      <c r="E185" s="102" t="s">
        <v>599</v>
      </c>
      <c r="F185" s="101"/>
      <c r="G185" s="103">
        <v>10.6</v>
      </c>
      <c r="H185" s="101"/>
      <c r="I185" s="101"/>
      <c r="J185" s="101"/>
      <c r="K185" s="101"/>
      <c r="L185" s="101"/>
      <c r="M185" s="89"/>
      <c r="N185" s="104"/>
      <c r="O185" s="86"/>
      <c r="P185" s="85"/>
    </row>
    <row r="186" spans="1:16" ht="12.75">
      <c r="A186" s="100"/>
      <c r="B186" s="101"/>
      <c r="C186" s="92" t="s">
        <v>366</v>
      </c>
      <c r="E186" s="102" t="s">
        <v>600</v>
      </c>
      <c r="F186" s="101"/>
      <c r="G186" s="103">
        <v>7.25</v>
      </c>
      <c r="H186" s="101"/>
      <c r="I186" s="101"/>
      <c r="J186" s="101"/>
      <c r="K186" s="101"/>
      <c r="L186" s="101"/>
      <c r="M186" s="89"/>
      <c r="N186" s="104"/>
      <c r="O186" s="86"/>
      <c r="P186" s="85"/>
    </row>
    <row r="187" spans="1:16" ht="12.75">
      <c r="A187" s="100"/>
      <c r="B187" s="101"/>
      <c r="C187" s="92" t="s">
        <v>395</v>
      </c>
      <c r="E187" s="102"/>
      <c r="F187" s="101"/>
      <c r="G187" s="103">
        <v>3.57</v>
      </c>
      <c r="H187" s="101"/>
      <c r="I187" s="101"/>
      <c r="J187" s="101"/>
      <c r="K187" s="101"/>
      <c r="L187" s="101"/>
      <c r="M187" s="89"/>
      <c r="N187" s="104"/>
      <c r="O187" s="86"/>
      <c r="P187" s="85"/>
    </row>
    <row r="188" spans="1:64" ht="12.75">
      <c r="A188" s="88" t="s">
        <v>53</v>
      </c>
      <c r="B188" s="88" t="s">
        <v>185</v>
      </c>
      <c r="C188" s="156" t="s">
        <v>396</v>
      </c>
      <c r="D188" s="157"/>
      <c r="E188" s="158"/>
      <c r="F188" s="88" t="s">
        <v>653</v>
      </c>
      <c r="G188" s="96">
        <v>92.6</v>
      </c>
      <c r="H188" s="96">
        <v>0</v>
      </c>
      <c r="I188" s="96">
        <f>G188*AO188</f>
        <v>0</v>
      </c>
      <c r="J188" s="96">
        <f>G188*AP188</f>
        <v>0</v>
      </c>
      <c r="K188" s="96">
        <f>G188*H188</f>
        <v>0</v>
      </c>
      <c r="L188" s="96">
        <v>0</v>
      </c>
      <c r="M188" s="81">
        <v>0</v>
      </c>
      <c r="N188" s="98">
        <v>0</v>
      </c>
      <c r="O188" s="81">
        <f>G188*N188</f>
        <v>0</v>
      </c>
      <c r="P188" s="85"/>
      <c r="Z188" s="36">
        <f>IF(AQ188="5",BJ188,0)</f>
        <v>0</v>
      </c>
      <c r="AB188" s="36">
        <f>IF(AQ188="1",BH188,0)</f>
        <v>0</v>
      </c>
      <c r="AC188" s="36">
        <f>IF(AQ188="1",BI188,0)</f>
        <v>0</v>
      </c>
      <c r="AD188" s="36">
        <f>IF(AQ188="7",BH188,0)</f>
        <v>0</v>
      </c>
      <c r="AE188" s="36">
        <f>IF(AQ188="7",BI188,0)</f>
        <v>0</v>
      </c>
      <c r="AF188" s="36">
        <f>IF(AQ188="2",BH188,0)</f>
        <v>0</v>
      </c>
      <c r="AG188" s="36">
        <f>IF(AQ188="2",BI188,0)</f>
        <v>0</v>
      </c>
      <c r="AH188" s="36">
        <f>IF(AQ188="0",BJ188,0)</f>
        <v>0</v>
      </c>
      <c r="AI188" s="34" t="s">
        <v>691</v>
      </c>
      <c r="AJ188" s="24">
        <f>IF(AN188=0,K188,0)</f>
        <v>0</v>
      </c>
      <c r="AK188" s="24">
        <f>IF(AN188=15,K188,0)</f>
        <v>0</v>
      </c>
      <c r="AL188" s="24">
        <f>IF(AN188=21,K188,0)</f>
        <v>0</v>
      </c>
      <c r="AN188" s="36">
        <v>21</v>
      </c>
      <c r="AO188" s="36">
        <f>H188*0</f>
        <v>0</v>
      </c>
      <c r="AP188" s="36">
        <f>H188*(1-0)</f>
        <v>0</v>
      </c>
      <c r="AQ188" s="37" t="s">
        <v>13</v>
      </c>
      <c r="AV188" s="36">
        <f>AW188+AX188</f>
        <v>0</v>
      </c>
      <c r="AW188" s="36">
        <f>G188*AO188</f>
        <v>0</v>
      </c>
      <c r="AX188" s="36">
        <f>G188*AP188</f>
        <v>0</v>
      </c>
      <c r="AY188" s="39" t="s">
        <v>701</v>
      </c>
      <c r="AZ188" s="39" t="s">
        <v>725</v>
      </c>
      <c r="BA188" s="34" t="s">
        <v>735</v>
      </c>
      <c r="BC188" s="36">
        <f>AW188+AX188</f>
        <v>0</v>
      </c>
      <c r="BD188" s="36">
        <f>H188/(100-BE188)*100</f>
        <v>0</v>
      </c>
      <c r="BE188" s="36">
        <v>0</v>
      </c>
      <c r="BF188" s="36">
        <f>O188</f>
        <v>0</v>
      </c>
      <c r="BH188" s="24">
        <f>G188*AO188</f>
        <v>0</v>
      </c>
      <c r="BI188" s="24">
        <f>G188*AP188</f>
        <v>0</v>
      </c>
      <c r="BJ188" s="24">
        <f>G188*H188</f>
        <v>0</v>
      </c>
      <c r="BK188" s="24" t="s">
        <v>740</v>
      </c>
      <c r="BL188" s="36">
        <v>711</v>
      </c>
    </row>
    <row r="189" spans="1:16" ht="12.75">
      <c r="A189" s="100"/>
      <c r="B189" s="101"/>
      <c r="C189" s="92" t="s">
        <v>397</v>
      </c>
      <c r="E189" s="102" t="s">
        <v>603</v>
      </c>
      <c r="F189" s="101"/>
      <c r="G189" s="103">
        <v>78.5</v>
      </c>
      <c r="H189" s="101"/>
      <c r="I189" s="101"/>
      <c r="J189" s="101"/>
      <c r="K189" s="101"/>
      <c r="L189" s="101"/>
      <c r="M189" s="89"/>
      <c r="N189" s="104"/>
      <c r="O189" s="86"/>
      <c r="P189" s="85"/>
    </row>
    <row r="190" spans="1:16" ht="12.75">
      <c r="A190" s="91"/>
      <c r="B190" s="94"/>
      <c r="C190" s="93" t="s">
        <v>398</v>
      </c>
      <c r="E190" s="95" t="s">
        <v>604</v>
      </c>
      <c r="F190" s="94"/>
      <c r="G190" s="97">
        <v>14.1</v>
      </c>
      <c r="H190" s="94"/>
      <c r="I190" s="94"/>
      <c r="J190" s="94"/>
      <c r="K190" s="94"/>
      <c r="L190" s="94"/>
      <c r="M190" s="90"/>
      <c r="N190" s="99"/>
      <c r="O190" s="87"/>
      <c r="P190" s="85"/>
    </row>
    <row r="191" spans="1:16" ht="12.75">
      <c r="A191" s="6"/>
      <c r="B191" s="16" t="s">
        <v>137</v>
      </c>
      <c r="C191" s="165" t="s">
        <v>399</v>
      </c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7"/>
      <c r="P191" s="6"/>
    </row>
    <row r="192" spans="1:64" ht="12.75">
      <c r="A192" s="106" t="s">
        <v>54</v>
      </c>
      <c r="B192" s="106" t="s">
        <v>186</v>
      </c>
      <c r="C192" s="171" t="s">
        <v>400</v>
      </c>
      <c r="D192" s="172"/>
      <c r="E192" s="173"/>
      <c r="F192" s="106" t="s">
        <v>653</v>
      </c>
      <c r="G192" s="107">
        <v>101.86</v>
      </c>
      <c r="H192" s="107">
        <v>0</v>
      </c>
      <c r="I192" s="107">
        <f>G192*AO192</f>
        <v>0</v>
      </c>
      <c r="J192" s="107">
        <f>G192*AP192</f>
        <v>0</v>
      </c>
      <c r="K192" s="107">
        <f>G192*H192</f>
        <v>0</v>
      </c>
      <c r="L192" s="107">
        <v>0.00045</v>
      </c>
      <c r="M192" s="105">
        <v>0</v>
      </c>
      <c r="N192" s="108">
        <v>0.00045</v>
      </c>
      <c r="O192" s="105">
        <f>G192*N192</f>
        <v>0.045836999999999996</v>
      </c>
      <c r="P192" s="85"/>
      <c r="Z192" s="36">
        <f>IF(AQ192="5",BJ192,0)</f>
        <v>0</v>
      </c>
      <c r="AB192" s="36">
        <f>IF(AQ192="1",BH192,0)</f>
        <v>0</v>
      </c>
      <c r="AC192" s="36">
        <f>IF(AQ192="1",BI192,0)</f>
        <v>0</v>
      </c>
      <c r="AD192" s="36">
        <f>IF(AQ192="7",BH192,0)</f>
        <v>0</v>
      </c>
      <c r="AE192" s="36">
        <f>IF(AQ192="7",BI192,0)</f>
        <v>0</v>
      </c>
      <c r="AF192" s="36">
        <f>IF(AQ192="2",BH192,0)</f>
        <v>0</v>
      </c>
      <c r="AG192" s="36">
        <f>IF(AQ192="2",BI192,0)</f>
        <v>0</v>
      </c>
      <c r="AH192" s="36">
        <f>IF(AQ192="0",BJ192,0)</f>
        <v>0</v>
      </c>
      <c r="AI192" s="34" t="s">
        <v>691</v>
      </c>
      <c r="AJ192" s="26">
        <f>IF(AN192=0,K192,0)</f>
        <v>0</v>
      </c>
      <c r="AK192" s="26">
        <f>IF(AN192=15,K192,0)</f>
        <v>0</v>
      </c>
      <c r="AL192" s="26">
        <f>IF(AN192=21,K192,0)</f>
        <v>0</v>
      </c>
      <c r="AN192" s="36">
        <v>21</v>
      </c>
      <c r="AO192" s="36">
        <f>H192*1</f>
        <v>0</v>
      </c>
      <c r="AP192" s="36">
        <f>H192*(1-1)</f>
        <v>0</v>
      </c>
      <c r="AQ192" s="38" t="s">
        <v>13</v>
      </c>
      <c r="AV192" s="36">
        <f>AW192+AX192</f>
        <v>0</v>
      </c>
      <c r="AW192" s="36">
        <f>G192*AO192</f>
        <v>0</v>
      </c>
      <c r="AX192" s="36">
        <f>G192*AP192</f>
        <v>0</v>
      </c>
      <c r="AY192" s="39" t="s">
        <v>701</v>
      </c>
      <c r="AZ192" s="39" t="s">
        <v>725</v>
      </c>
      <c r="BA192" s="34" t="s">
        <v>735</v>
      </c>
      <c r="BC192" s="36">
        <f>AW192+AX192</f>
        <v>0</v>
      </c>
      <c r="BD192" s="36">
        <f>H192/(100-BE192)*100</f>
        <v>0</v>
      </c>
      <c r="BE192" s="36">
        <v>0</v>
      </c>
      <c r="BF192" s="36">
        <f>O192</f>
        <v>0.045836999999999996</v>
      </c>
      <c r="BH192" s="26">
        <f>G192*AO192</f>
        <v>0</v>
      </c>
      <c r="BI192" s="26">
        <f>G192*AP192</f>
        <v>0</v>
      </c>
      <c r="BJ192" s="26">
        <f>G192*H192</f>
        <v>0</v>
      </c>
      <c r="BK192" s="26" t="s">
        <v>741</v>
      </c>
      <c r="BL192" s="36">
        <v>711</v>
      </c>
    </row>
    <row r="193" spans="1:16" ht="12.75">
      <c r="A193" s="100"/>
      <c r="B193" s="101"/>
      <c r="C193" s="92" t="s">
        <v>397</v>
      </c>
      <c r="E193" s="102" t="s">
        <v>603</v>
      </c>
      <c r="F193" s="101"/>
      <c r="G193" s="103">
        <v>78.5</v>
      </c>
      <c r="H193" s="101"/>
      <c r="I193" s="101"/>
      <c r="J193" s="101"/>
      <c r="K193" s="101"/>
      <c r="L193" s="101"/>
      <c r="M193" s="89"/>
      <c r="N193" s="104"/>
      <c r="O193" s="86"/>
      <c r="P193" s="85"/>
    </row>
    <row r="194" spans="1:16" ht="12.75">
      <c r="A194" s="100"/>
      <c r="B194" s="101"/>
      <c r="C194" s="92" t="s">
        <v>398</v>
      </c>
      <c r="E194" s="102" t="s">
        <v>604</v>
      </c>
      <c r="F194" s="101"/>
      <c r="G194" s="103">
        <v>14.1</v>
      </c>
      <c r="H194" s="101"/>
      <c r="I194" s="101"/>
      <c r="J194" s="101"/>
      <c r="K194" s="101"/>
      <c r="L194" s="101"/>
      <c r="M194" s="89"/>
      <c r="N194" s="104"/>
      <c r="O194" s="86"/>
      <c r="P194" s="85"/>
    </row>
    <row r="195" spans="1:16" ht="12.75">
      <c r="A195" s="91"/>
      <c r="B195" s="94"/>
      <c r="C195" s="93" t="s">
        <v>401</v>
      </c>
      <c r="E195" s="95"/>
      <c r="F195" s="94"/>
      <c r="G195" s="97">
        <v>9.26</v>
      </c>
      <c r="H195" s="94"/>
      <c r="I195" s="94"/>
      <c r="J195" s="94"/>
      <c r="K195" s="94"/>
      <c r="L195" s="94"/>
      <c r="M195" s="90"/>
      <c r="N195" s="99"/>
      <c r="O195" s="87"/>
      <c r="P195" s="85"/>
    </row>
    <row r="196" spans="1:16" ht="12.75">
      <c r="A196" s="6"/>
      <c r="B196" s="16" t="s">
        <v>137</v>
      </c>
      <c r="C196" s="165" t="s">
        <v>402</v>
      </c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7"/>
      <c r="P196" s="6"/>
    </row>
    <row r="197" spans="1:64" ht="12.75">
      <c r="A197" s="88" t="s">
        <v>55</v>
      </c>
      <c r="B197" s="88" t="s">
        <v>187</v>
      </c>
      <c r="C197" s="156" t="s">
        <v>403</v>
      </c>
      <c r="D197" s="157"/>
      <c r="E197" s="158"/>
      <c r="F197" s="88" t="s">
        <v>654</v>
      </c>
      <c r="G197" s="96">
        <v>43.15</v>
      </c>
      <c r="H197" s="96">
        <v>0</v>
      </c>
      <c r="I197" s="96">
        <f>G197*AO197</f>
        <v>0</v>
      </c>
      <c r="J197" s="96">
        <f>G197*AP197</f>
        <v>0</v>
      </c>
      <c r="K197" s="96">
        <f>G197*H197</f>
        <v>0</v>
      </c>
      <c r="L197" s="96">
        <v>0</v>
      </c>
      <c r="M197" s="81">
        <v>0</v>
      </c>
      <c r="N197" s="98">
        <v>0</v>
      </c>
      <c r="O197" s="81">
        <f>G197*N197</f>
        <v>0</v>
      </c>
      <c r="P197" s="85"/>
      <c r="Z197" s="36">
        <f>IF(AQ197="5",BJ197,0)</f>
        <v>0</v>
      </c>
      <c r="AB197" s="36">
        <f>IF(AQ197="1",BH197,0)</f>
        <v>0</v>
      </c>
      <c r="AC197" s="36">
        <f>IF(AQ197="1",BI197,0)</f>
        <v>0</v>
      </c>
      <c r="AD197" s="36">
        <f>IF(AQ197="7",BH197,0)</f>
        <v>0</v>
      </c>
      <c r="AE197" s="36">
        <f>IF(AQ197="7",BI197,0)</f>
        <v>0</v>
      </c>
      <c r="AF197" s="36">
        <f>IF(AQ197="2",BH197,0)</f>
        <v>0</v>
      </c>
      <c r="AG197" s="36">
        <f>IF(AQ197="2",BI197,0)</f>
        <v>0</v>
      </c>
      <c r="AH197" s="36">
        <f>IF(AQ197="0",BJ197,0)</f>
        <v>0</v>
      </c>
      <c r="AI197" s="34" t="s">
        <v>691</v>
      </c>
      <c r="AJ197" s="24">
        <f>IF(AN197=0,K197,0)</f>
        <v>0</v>
      </c>
      <c r="AK197" s="24">
        <f>IF(AN197=15,K197,0)</f>
        <v>0</v>
      </c>
      <c r="AL197" s="24">
        <f>IF(AN197=21,K197,0)</f>
        <v>0</v>
      </c>
      <c r="AN197" s="36">
        <v>21</v>
      </c>
      <c r="AO197" s="36">
        <f>H197*0.428755868544601</f>
        <v>0</v>
      </c>
      <c r="AP197" s="36">
        <f>H197*(1-0.428755868544601)</f>
        <v>0</v>
      </c>
      <c r="AQ197" s="37" t="s">
        <v>13</v>
      </c>
      <c r="AV197" s="36">
        <f>AW197+AX197</f>
        <v>0</v>
      </c>
      <c r="AW197" s="36">
        <f>G197*AO197</f>
        <v>0</v>
      </c>
      <c r="AX197" s="36">
        <f>G197*AP197</f>
        <v>0</v>
      </c>
      <c r="AY197" s="39" t="s">
        <v>701</v>
      </c>
      <c r="AZ197" s="39" t="s">
        <v>725</v>
      </c>
      <c r="BA197" s="34" t="s">
        <v>735</v>
      </c>
      <c r="BC197" s="36">
        <f>AW197+AX197</f>
        <v>0</v>
      </c>
      <c r="BD197" s="36">
        <f>H197/(100-BE197)*100</f>
        <v>0</v>
      </c>
      <c r="BE197" s="36">
        <v>0</v>
      </c>
      <c r="BF197" s="36">
        <f>O197</f>
        <v>0</v>
      </c>
      <c r="BH197" s="24">
        <f>G197*AO197</f>
        <v>0</v>
      </c>
      <c r="BI197" s="24">
        <f>G197*AP197</f>
        <v>0</v>
      </c>
      <c r="BJ197" s="24">
        <f>G197*H197</f>
        <v>0</v>
      </c>
      <c r="BK197" s="24" t="s">
        <v>740</v>
      </c>
      <c r="BL197" s="36">
        <v>711</v>
      </c>
    </row>
    <row r="198" spans="1:16" ht="12.75">
      <c r="A198" s="100"/>
      <c r="B198" s="101"/>
      <c r="C198" s="92" t="s">
        <v>404</v>
      </c>
      <c r="E198" s="102" t="s">
        <v>603</v>
      </c>
      <c r="F198" s="101"/>
      <c r="G198" s="103">
        <v>31.4</v>
      </c>
      <c r="H198" s="101"/>
      <c r="I198" s="101"/>
      <c r="J198" s="101"/>
      <c r="K198" s="101"/>
      <c r="L198" s="101"/>
      <c r="M198" s="89"/>
      <c r="N198" s="104"/>
      <c r="O198" s="86"/>
      <c r="P198" s="85"/>
    </row>
    <row r="199" spans="1:16" ht="12.75">
      <c r="A199" s="91"/>
      <c r="B199" s="94"/>
      <c r="C199" s="93" t="s">
        <v>405</v>
      </c>
      <c r="E199" s="95" t="s">
        <v>604</v>
      </c>
      <c r="F199" s="94"/>
      <c r="G199" s="97">
        <v>11.75</v>
      </c>
      <c r="H199" s="94"/>
      <c r="I199" s="94"/>
      <c r="J199" s="94"/>
      <c r="K199" s="94"/>
      <c r="L199" s="94"/>
      <c r="M199" s="90"/>
      <c r="N199" s="99"/>
      <c r="O199" s="87"/>
      <c r="P199" s="85"/>
    </row>
    <row r="200" spans="1:16" ht="12.75">
      <c r="A200" s="6"/>
      <c r="B200" s="16" t="s">
        <v>137</v>
      </c>
      <c r="C200" s="165" t="s">
        <v>406</v>
      </c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7"/>
      <c r="P200" s="6"/>
    </row>
    <row r="201" spans="1:64" ht="12.75">
      <c r="A201" s="7" t="s">
        <v>56</v>
      </c>
      <c r="B201" s="17" t="s">
        <v>188</v>
      </c>
      <c r="C201" s="174" t="s">
        <v>407</v>
      </c>
      <c r="D201" s="172"/>
      <c r="E201" s="172"/>
      <c r="F201" s="17" t="s">
        <v>657</v>
      </c>
      <c r="G201" s="26">
        <v>24</v>
      </c>
      <c r="H201" s="26">
        <v>0</v>
      </c>
      <c r="I201" s="26">
        <f>G201*AO201</f>
        <v>0</v>
      </c>
      <c r="J201" s="26">
        <f>G201*AP201</f>
        <v>0</v>
      </c>
      <c r="K201" s="26">
        <f>G201*H201</f>
        <v>0</v>
      </c>
      <c r="L201" s="26">
        <v>0.00056</v>
      </c>
      <c r="M201" s="26">
        <v>0</v>
      </c>
      <c r="N201" s="26">
        <v>0.00056</v>
      </c>
      <c r="O201" s="48">
        <f>G201*N201</f>
        <v>0.013439999999999999</v>
      </c>
      <c r="P201" s="6"/>
      <c r="Z201" s="36">
        <f>IF(AQ201="5",BJ201,0)</f>
        <v>0</v>
      </c>
      <c r="AB201" s="36">
        <f>IF(AQ201="1",BH201,0)</f>
        <v>0</v>
      </c>
      <c r="AC201" s="36">
        <f>IF(AQ201="1",BI201,0)</f>
        <v>0</v>
      </c>
      <c r="AD201" s="36">
        <f>IF(AQ201="7",BH201,0)</f>
        <v>0</v>
      </c>
      <c r="AE201" s="36">
        <f>IF(AQ201="7",BI201,0)</f>
        <v>0</v>
      </c>
      <c r="AF201" s="36">
        <f>IF(AQ201="2",BH201,0)</f>
        <v>0</v>
      </c>
      <c r="AG201" s="36">
        <f>IF(AQ201="2",BI201,0)</f>
        <v>0</v>
      </c>
      <c r="AH201" s="36">
        <f>IF(AQ201="0",BJ201,0)</f>
        <v>0</v>
      </c>
      <c r="AI201" s="34" t="s">
        <v>691</v>
      </c>
      <c r="AJ201" s="26">
        <f>IF(AN201=0,K201,0)</f>
        <v>0</v>
      </c>
      <c r="AK201" s="26">
        <f>IF(AN201=15,K201,0)</f>
        <v>0</v>
      </c>
      <c r="AL201" s="26">
        <f>IF(AN201=21,K201,0)</f>
        <v>0</v>
      </c>
      <c r="AN201" s="36">
        <v>21</v>
      </c>
      <c r="AO201" s="36">
        <f>H201*1</f>
        <v>0</v>
      </c>
      <c r="AP201" s="36">
        <f>H201*(1-1)</f>
        <v>0</v>
      </c>
      <c r="AQ201" s="38" t="s">
        <v>13</v>
      </c>
      <c r="AV201" s="36">
        <f>AW201+AX201</f>
        <v>0</v>
      </c>
      <c r="AW201" s="36">
        <f>G201*AO201</f>
        <v>0</v>
      </c>
      <c r="AX201" s="36">
        <f>G201*AP201</f>
        <v>0</v>
      </c>
      <c r="AY201" s="39" t="s">
        <v>701</v>
      </c>
      <c r="AZ201" s="39" t="s">
        <v>725</v>
      </c>
      <c r="BA201" s="34" t="s">
        <v>735</v>
      </c>
      <c r="BC201" s="36">
        <f>AW201+AX201</f>
        <v>0</v>
      </c>
      <c r="BD201" s="36">
        <f>H201/(100-BE201)*100</f>
        <v>0</v>
      </c>
      <c r="BE201" s="36">
        <v>0</v>
      </c>
      <c r="BF201" s="36">
        <f>O201</f>
        <v>0.013439999999999999</v>
      </c>
      <c r="BH201" s="26">
        <f>G201*AO201</f>
        <v>0</v>
      </c>
      <c r="BI201" s="26">
        <f>G201*AP201</f>
        <v>0</v>
      </c>
      <c r="BJ201" s="26">
        <f>G201*H201</f>
        <v>0</v>
      </c>
      <c r="BK201" s="26" t="s">
        <v>741</v>
      </c>
      <c r="BL201" s="36">
        <v>711</v>
      </c>
    </row>
    <row r="202" spans="1:16" ht="12.75">
      <c r="A202" s="6"/>
      <c r="C202" s="18" t="s">
        <v>30</v>
      </c>
      <c r="E202" s="20"/>
      <c r="G202" s="25">
        <v>24</v>
      </c>
      <c r="O202" s="35"/>
      <c r="P202" s="6"/>
    </row>
    <row r="203" spans="1:16" ht="25.5" customHeight="1">
      <c r="A203" s="6"/>
      <c r="B203" s="16" t="s">
        <v>137</v>
      </c>
      <c r="C203" s="165" t="s">
        <v>408</v>
      </c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7"/>
      <c r="P203" s="6"/>
    </row>
    <row r="204" spans="1:64" ht="12.75">
      <c r="A204" s="88" t="s">
        <v>57</v>
      </c>
      <c r="B204" s="88" t="s">
        <v>189</v>
      </c>
      <c r="C204" s="156" t="s">
        <v>409</v>
      </c>
      <c r="D204" s="157"/>
      <c r="E204" s="158"/>
      <c r="F204" s="88" t="s">
        <v>653</v>
      </c>
      <c r="G204" s="96">
        <v>49.76719</v>
      </c>
      <c r="H204" s="96">
        <v>0</v>
      </c>
      <c r="I204" s="96">
        <f>G204*AO204</f>
        <v>0</v>
      </c>
      <c r="J204" s="96">
        <f>G204*AP204</f>
        <v>0</v>
      </c>
      <c r="K204" s="96">
        <f>G204*H204</f>
        <v>0</v>
      </c>
      <c r="L204" s="96">
        <v>0.013</v>
      </c>
      <c r="M204" s="81">
        <v>0</v>
      </c>
      <c r="N204" s="98">
        <v>0.013</v>
      </c>
      <c r="O204" s="81">
        <f>G204*N204</f>
        <v>0.6469734699999999</v>
      </c>
      <c r="P204" s="85"/>
      <c r="Z204" s="36">
        <f>IF(AQ204="5",BJ204,0)</f>
        <v>0</v>
      </c>
      <c r="AB204" s="36">
        <f>IF(AQ204="1",BH204,0)</f>
        <v>0</v>
      </c>
      <c r="AC204" s="36">
        <f>IF(AQ204="1",BI204,0)</f>
        <v>0</v>
      </c>
      <c r="AD204" s="36">
        <f>IF(AQ204="7",BH204,0)</f>
        <v>0</v>
      </c>
      <c r="AE204" s="36">
        <f>IF(AQ204="7",BI204,0)</f>
        <v>0</v>
      </c>
      <c r="AF204" s="36">
        <f>IF(AQ204="2",BH204,0)</f>
        <v>0</v>
      </c>
      <c r="AG204" s="36">
        <f>IF(AQ204="2",BI204,0)</f>
        <v>0</v>
      </c>
      <c r="AH204" s="36">
        <f>IF(AQ204="0",BJ204,0)</f>
        <v>0</v>
      </c>
      <c r="AI204" s="34" t="s">
        <v>691</v>
      </c>
      <c r="AJ204" s="24">
        <f>IF(AN204=0,K204,0)</f>
        <v>0</v>
      </c>
      <c r="AK204" s="24">
        <f>IF(AN204=15,K204,0)</f>
        <v>0</v>
      </c>
      <c r="AL204" s="24">
        <f>IF(AN204=21,K204,0)</f>
        <v>0</v>
      </c>
      <c r="AN204" s="36">
        <v>21</v>
      </c>
      <c r="AO204" s="36">
        <f>H204*0.585891647045585</f>
        <v>0</v>
      </c>
      <c r="AP204" s="36">
        <f>H204*(1-0.585891647045585)</f>
        <v>0</v>
      </c>
      <c r="AQ204" s="37" t="s">
        <v>13</v>
      </c>
      <c r="AV204" s="36">
        <f>AW204+AX204</f>
        <v>0</v>
      </c>
      <c r="AW204" s="36">
        <f>G204*AO204</f>
        <v>0</v>
      </c>
      <c r="AX204" s="36">
        <f>G204*AP204</f>
        <v>0</v>
      </c>
      <c r="AY204" s="39" t="s">
        <v>701</v>
      </c>
      <c r="AZ204" s="39" t="s">
        <v>725</v>
      </c>
      <c r="BA204" s="34" t="s">
        <v>735</v>
      </c>
      <c r="BC204" s="36">
        <f>AW204+AX204</f>
        <v>0</v>
      </c>
      <c r="BD204" s="36">
        <f>H204/(100-BE204)*100</f>
        <v>0</v>
      </c>
      <c r="BE204" s="36">
        <v>0</v>
      </c>
      <c r="BF204" s="36">
        <f>O204</f>
        <v>0.6469734699999999</v>
      </c>
      <c r="BH204" s="24">
        <f>G204*AO204</f>
        <v>0</v>
      </c>
      <c r="BI204" s="24">
        <f>G204*AP204</f>
        <v>0</v>
      </c>
      <c r="BJ204" s="24">
        <f>G204*H204</f>
        <v>0</v>
      </c>
      <c r="BK204" s="24" t="s">
        <v>740</v>
      </c>
      <c r="BL204" s="36">
        <v>711</v>
      </c>
    </row>
    <row r="205" spans="1:16" ht="12.75">
      <c r="A205" s="100"/>
      <c r="B205" s="101"/>
      <c r="C205" s="92" t="s">
        <v>410</v>
      </c>
      <c r="E205" s="102" t="s">
        <v>605</v>
      </c>
      <c r="F205" s="101"/>
      <c r="G205" s="103">
        <v>44.59219</v>
      </c>
      <c r="H205" s="101"/>
      <c r="I205" s="101"/>
      <c r="J205" s="101"/>
      <c r="K205" s="101"/>
      <c r="L205" s="101"/>
      <c r="M205" s="89"/>
      <c r="N205" s="104"/>
      <c r="O205" s="86"/>
      <c r="P205" s="85"/>
    </row>
    <row r="206" spans="1:16" ht="12.75">
      <c r="A206" s="100"/>
      <c r="B206" s="101"/>
      <c r="C206" s="92" t="s">
        <v>411</v>
      </c>
      <c r="E206" s="102" t="s">
        <v>606</v>
      </c>
      <c r="F206" s="101"/>
      <c r="G206" s="103">
        <v>2</v>
      </c>
      <c r="H206" s="101"/>
      <c r="I206" s="101"/>
      <c r="J206" s="101"/>
      <c r="K206" s="101"/>
      <c r="L206" s="101"/>
      <c r="M206" s="89"/>
      <c r="N206" s="104"/>
      <c r="O206" s="86"/>
      <c r="P206" s="85"/>
    </row>
    <row r="207" spans="1:16" ht="12.75">
      <c r="A207" s="91"/>
      <c r="B207" s="94"/>
      <c r="C207" s="93" t="s">
        <v>412</v>
      </c>
      <c r="E207" s="95" t="s">
        <v>607</v>
      </c>
      <c r="F207" s="94"/>
      <c r="G207" s="97">
        <v>3.175</v>
      </c>
      <c r="H207" s="94"/>
      <c r="I207" s="94"/>
      <c r="J207" s="94"/>
      <c r="K207" s="94"/>
      <c r="L207" s="94"/>
      <c r="M207" s="90"/>
      <c r="N207" s="99"/>
      <c r="O207" s="87"/>
      <c r="P207" s="85"/>
    </row>
    <row r="208" spans="1:16" ht="51" customHeight="1">
      <c r="A208" s="6"/>
      <c r="B208" s="16" t="s">
        <v>137</v>
      </c>
      <c r="C208" s="165" t="s">
        <v>413</v>
      </c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7"/>
      <c r="P208" s="6"/>
    </row>
    <row r="209" spans="1:64" ht="12.75">
      <c r="A209" s="88" t="s">
        <v>58</v>
      </c>
      <c r="B209" s="88" t="s">
        <v>190</v>
      </c>
      <c r="C209" s="156" t="s">
        <v>414</v>
      </c>
      <c r="D209" s="157"/>
      <c r="E209" s="158"/>
      <c r="F209" s="88" t="s">
        <v>654</v>
      </c>
      <c r="G209" s="96">
        <v>97.53438</v>
      </c>
      <c r="H209" s="96">
        <v>0</v>
      </c>
      <c r="I209" s="96">
        <f>G209*AO209</f>
        <v>0</v>
      </c>
      <c r="J209" s="96">
        <f>G209*AP209</f>
        <v>0</v>
      </c>
      <c r="K209" s="96">
        <f>G209*H209</f>
        <v>0</v>
      </c>
      <c r="L209" s="96">
        <v>0.0025</v>
      </c>
      <c r="M209" s="81">
        <v>0</v>
      </c>
      <c r="N209" s="98">
        <v>0.0025</v>
      </c>
      <c r="O209" s="81">
        <f>G209*N209</f>
        <v>0.24383595</v>
      </c>
      <c r="P209" s="85"/>
      <c r="Z209" s="36">
        <f>IF(AQ209="5",BJ209,0)</f>
        <v>0</v>
      </c>
      <c r="AB209" s="36">
        <f>IF(AQ209="1",BH209,0)</f>
        <v>0</v>
      </c>
      <c r="AC209" s="36">
        <f>IF(AQ209="1",BI209,0)</f>
        <v>0</v>
      </c>
      <c r="AD209" s="36">
        <f>IF(AQ209="7",BH209,0)</f>
        <v>0</v>
      </c>
      <c r="AE209" s="36">
        <f>IF(AQ209="7",BI209,0)</f>
        <v>0</v>
      </c>
      <c r="AF209" s="36">
        <f>IF(AQ209="2",BH209,0)</f>
        <v>0</v>
      </c>
      <c r="AG209" s="36">
        <f>IF(AQ209="2",BI209,0)</f>
        <v>0</v>
      </c>
      <c r="AH209" s="36">
        <f>IF(AQ209="0",BJ209,0)</f>
        <v>0</v>
      </c>
      <c r="AI209" s="34" t="s">
        <v>691</v>
      </c>
      <c r="AJ209" s="24">
        <f>IF(AN209=0,K209,0)</f>
        <v>0</v>
      </c>
      <c r="AK209" s="24">
        <f>IF(AN209=15,K209,0)</f>
        <v>0</v>
      </c>
      <c r="AL209" s="24">
        <f>IF(AN209=21,K209,0)</f>
        <v>0</v>
      </c>
      <c r="AN209" s="36">
        <v>21</v>
      </c>
      <c r="AO209" s="36">
        <f>H209*0.444049723843146</f>
        <v>0</v>
      </c>
      <c r="AP209" s="36">
        <f>H209*(1-0.444049723843146)</f>
        <v>0</v>
      </c>
      <c r="AQ209" s="37" t="s">
        <v>13</v>
      </c>
      <c r="AV209" s="36">
        <f>AW209+AX209</f>
        <v>0</v>
      </c>
      <c r="AW209" s="36">
        <f>G209*AO209</f>
        <v>0</v>
      </c>
      <c r="AX209" s="36">
        <f>G209*AP209</f>
        <v>0</v>
      </c>
      <c r="AY209" s="39" t="s">
        <v>701</v>
      </c>
      <c r="AZ209" s="39" t="s">
        <v>725</v>
      </c>
      <c r="BA209" s="34" t="s">
        <v>735</v>
      </c>
      <c r="BC209" s="36">
        <f>AW209+AX209</f>
        <v>0</v>
      </c>
      <c r="BD209" s="36">
        <f>H209/(100-BE209)*100</f>
        <v>0</v>
      </c>
      <c r="BE209" s="36">
        <v>0</v>
      </c>
      <c r="BF209" s="36">
        <f>O209</f>
        <v>0.24383595</v>
      </c>
      <c r="BH209" s="24">
        <f>G209*AO209</f>
        <v>0</v>
      </c>
      <c r="BI209" s="24">
        <f>G209*AP209</f>
        <v>0</v>
      </c>
      <c r="BJ209" s="24">
        <f>G209*H209</f>
        <v>0</v>
      </c>
      <c r="BK209" s="24" t="s">
        <v>740</v>
      </c>
      <c r="BL209" s="36">
        <v>711</v>
      </c>
    </row>
    <row r="210" spans="1:16" ht="12.75">
      <c r="A210" s="100"/>
      <c r="B210" s="101"/>
      <c r="C210" s="92" t="s">
        <v>415</v>
      </c>
      <c r="E210" s="102" t="s">
        <v>608</v>
      </c>
      <c r="F210" s="101"/>
      <c r="G210" s="103">
        <v>89.18438</v>
      </c>
      <c r="H210" s="101"/>
      <c r="I210" s="101"/>
      <c r="J210" s="101"/>
      <c r="K210" s="101"/>
      <c r="L210" s="101"/>
      <c r="M210" s="89"/>
      <c r="N210" s="104"/>
      <c r="O210" s="86"/>
      <c r="P210" s="85"/>
    </row>
    <row r="211" spans="1:16" ht="12.75">
      <c r="A211" s="100"/>
      <c r="B211" s="101"/>
      <c r="C211" s="92" t="s">
        <v>416</v>
      </c>
      <c r="E211" s="102" t="s">
        <v>609</v>
      </c>
      <c r="F211" s="101"/>
      <c r="G211" s="103">
        <v>2</v>
      </c>
      <c r="H211" s="101"/>
      <c r="I211" s="101"/>
      <c r="J211" s="101"/>
      <c r="K211" s="101"/>
      <c r="L211" s="101"/>
      <c r="M211" s="89"/>
      <c r="N211" s="104"/>
      <c r="O211" s="86"/>
      <c r="P211" s="85"/>
    </row>
    <row r="212" spans="1:16" ht="12.75">
      <c r="A212" s="91"/>
      <c r="B212" s="94"/>
      <c r="C212" s="93" t="s">
        <v>417</v>
      </c>
      <c r="E212" s="95" t="s">
        <v>609</v>
      </c>
      <c r="F212" s="94"/>
      <c r="G212" s="97">
        <v>6.35</v>
      </c>
      <c r="H212" s="94"/>
      <c r="I212" s="94"/>
      <c r="J212" s="94"/>
      <c r="K212" s="94"/>
      <c r="L212" s="94"/>
      <c r="M212" s="90"/>
      <c r="N212" s="99"/>
      <c r="O212" s="87"/>
      <c r="P212" s="85"/>
    </row>
    <row r="213" spans="1:16" ht="51" customHeight="1">
      <c r="A213" s="6"/>
      <c r="B213" s="16" t="s">
        <v>137</v>
      </c>
      <c r="C213" s="165" t="s">
        <v>418</v>
      </c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7"/>
      <c r="P213" s="6"/>
    </row>
    <row r="214" spans="1:64" ht="12.75">
      <c r="A214" s="80" t="s">
        <v>59</v>
      </c>
      <c r="B214" s="80" t="s">
        <v>191</v>
      </c>
      <c r="C214" s="162" t="s">
        <v>419</v>
      </c>
      <c r="D214" s="157"/>
      <c r="E214" s="164"/>
      <c r="F214" s="80" t="s">
        <v>656</v>
      </c>
      <c r="G214" s="83">
        <v>0.1</v>
      </c>
      <c r="H214" s="83">
        <v>0</v>
      </c>
      <c r="I214" s="83">
        <f>G214*AO214</f>
        <v>0</v>
      </c>
      <c r="J214" s="83">
        <f>G214*AP214</f>
        <v>0</v>
      </c>
      <c r="K214" s="83">
        <f>G214*H214</f>
        <v>0</v>
      </c>
      <c r="L214" s="83">
        <v>0</v>
      </c>
      <c r="M214" s="82">
        <v>0</v>
      </c>
      <c r="N214" s="84">
        <v>0</v>
      </c>
      <c r="O214" s="82">
        <f>G214*N214</f>
        <v>0</v>
      </c>
      <c r="P214" s="85"/>
      <c r="Z214" s="36">
        <f>IF(AQ214="5",BJ214,0)</f>
        <v>0</v>
      </c>
      <c r="AB214" s="36">
        <f>IF(AQ214="1",BH214,0)</f>
        <v>0</v>
      </c>
      <c r="AC214" s="36">
        <f>IF(AQ214="1",BI214,0)</f>
        <v>0</v>
      </c>
      <c r="AD214" s="36">
        <f>IF(AQ214="7",BH214,0)</f>
        <v>0</v>
      </c>
      <c r="AE214" s="36">
        <f>IF(AQ214="7",BI214,0)</f>
        <v>0</v>
      </c>
      <c r="AF214" s="36">
        <f>IF(AQ214="2",BH214,0)</f>
        <v>0</v>
      </c>
      <c r="AG214" s="36">
        <f>IF(AQ214="2",BI214,0)</f>
        <v>0</v>
      </c>
      <c r="AH214" s="36">
        <f>IF(AQ214="0",BJ214,0)</f>
        <v>0</v>
      </c>
      <c r="AI214" s="34" t="s">
        <v>691</v>
      </c>
      <c r="AJ214" s="24">
        <f>IF(AN214=0,K214,0)</f>
        <v>0</v>
      </c>
      <c r="AK214" s="24">
        <f>IF(AN214=15,K214,0)</f>
        <v>0</v>
      </c>
      <c r="AL214" s="24">
        <f>IF(AN214=21,K214,0)</f>
        <v>0</v>
      </c>
      <c r="AN214" s="36">
        <v>21</v>
      </c>
      <c r="AO214" s="36">
        <f>H214*0</f>
        <v>0</v>
      </c>
      <c r="AP214" s="36">
        <f>H214*(1-0)</f>
        <v>0</v>
      </c>
      <c r="AQ214" s="37" t="s">
        <v>11</v>
      </c>
      <c r="AV214" s="36">
        <f>AW214+AX214</f>
        <v>0</v>
      </c>
      <c r="AW214" s="36">
        <f>G214*AO214</f>
        <v>0</v>
      </c>
      <c r="AX214" s="36">
        <f>G214*AP214</f>
        <v>0</v>
      </c>
      <c r="AY214" s="39" t="s">
        <v>701</v>
      </c>
      <c r="AZ214" s="39" t="s">
        <v>725</v>
      </c>
      <c r="BA214" s="34" t="s">
        <v>735</v>
      </c>
      <c r="BC214" s="36">
        <f>AW214+AX214</f>
        <v>0</v>
      </c>
      <c r="BD214" s="36">
        <f>H214/(100-BE214)*100</f>
        <v>0</v>
      </c>
      <c r="BE214" s="36">
        <v>0</v>
      </c>
      <c r="BF214" s="36">
        <f>O214</f>
        <v>0</v>
      </c>
      <c r="BH214" s="24">
        <f>G214*AO214</f>
        <v>0</v>
      </c>
      <c r="BI214" s="24">
        <f>G214*AP214</f>
        <v>0</v>
      </c>
      <c r="BJ214" s="24">
        <f>G214*H214</f>
        <v>0</v>
      </c>
      <c r="BK214" s="24" t="s">
        <v>740</v>
      </c>
      <c r="BL214" s="36">
        <v>711</v>
      </c>
    </row>
    <row r="215" spans="1:47" ht="12.75">
      <c r="A215" s="4"/>
      <c r="B215" s="13" t="s">
        <v>192</v>
      </c>
      <c r="C215" s="160" t="s">
        <v>420</v>
      </c>
      <c r="D215" s="161"/>
      <c r="E215" s="161"/>
      <c r="F215" s="22" t="s">
        <v>6</v>
      </c>
      <c r="G215" s="22" t="s">
        <v>6</v>
      </c>
      <c r="H215" s="22" t="s">
        <v>6</v>
      </c>
      <c r="I215" s="43">
        <f>SUM(I216:I244)</f>
        <v>0</v>
      </c>
      <c r="J215" s="43">
        <f>SUM(J216:J244)</f>
        <v>0</v>
      </c>
      <c r="K215" s="43">
        <f>SUM(K216:K244)</f>
        <v>0</v>
      </c>
      <c r="L215" s="34"/>
      <c r="M215" s="34"/>
      <c r="N215" s="34"/>
      <c r="O215" s="46">
        <f>SUM(O216:O244)</f>
        <v>0.8858700000000002</v>
      </c>
      <c r="P215" s="6"/>
      <c r="AI215" s="34" t="s">
        <v>691</v>
      </c>
      <c r="AS215" s="43">
        <f>SUM(AJ216:AJ244)</f>
        <v>0</v>
      </c>
      <c r="AT215" s="43">
        <f>SUM(AK216:AK244)</f>
        <v>0</v>
      </c>
      <c r="AU215" s="43">
        <f>SUM(AL216:AL244)</f>
        <v>0</v>
      </c>
    </row>
    <row r="216" spans="1:64" ht="12.75">
      <c r="A216" s="88" t="s">
        <v>60</v>
      </c>
      <c r="B216" s="88" t="s">
        <v>193</v>
      </c>
      <c r="C216" s="156" t="s">
        <v>421</v>
      </c>
      <c r="D216" s="157"/>
      <c r="E216" s="158"/>
      <c r="F216" s="88" t="s">
        <v>654</v>
      </c>
      <c r="G216" s="96">
        <v>13</v>
      </c>
      <c r="H216" s="96">
        <v>0</v>
      </c>
      <c r="I216" s="96">
        <f>G216*AO216</f>
        <v>0</v>
      </c>
      <c r="J216" s="96">
        <f>G216*AP216</f>
        <v>0</v>
      </c>
      <c r="K216" s="96">
        <f>G216*H216</f>
        <v>0</v>
      </c>
      <c r="L216" s="96">
        <v>0</v>
      </c>
      <c r="M216" s="81">
        <v>0.0267</v>
      </c>
      <c r="N216" s="98">
        <v>0.0267</v>
      </c>
      <c r="O216" s="81">
        <f>G216*N216</f>
        <v>0.3471</v>
      </c>
      <c r="P216" s="85"/>
      <c r="Z216" s="36">
        <f>IF(AQ216="5",BJ216,0)</f>
        <v>0</v>
      </c>
      <c r="AB216" s="36">
        <f>IF(AQ216="1",BH216,0)</f>
        <v>0</v>
      </c>
      <c r="AC216" s="36">
        <f>IF(AQ216="1",BI216,0)</f>
        <v>0</v>
      </c>
      <c r="AD216" s="36">
        <f>IF(AQ216="7",BH216,0)</f>
        <v>0</v>
      </c>
      <c r="AE216" s="36">
        <f>IF(AQ216="7",BI216,0)</f>
        <v>0</v>
      </c>
      <c r="AF216" s="36">
        <f>IF(AQ216="2",BH216,0)</f>
        <v>0</v>
      </c>
      <c r="AG216" s="36">
        <f>IF(AQ216="2",BI216,0)</f>
        <v>0</v>
      </c>
      <c r="AH216" s="36">
        <f>IF(AQ216="0",BJ216,0)</f>
        <v>0</v>
      </c>
      <c r="AI216" s="34" t="s">
        <v>691</v>
      </c>
      <c r="AJ216" s="24">
        <f>IF(AN216=0,K216,0)</f>
        <v>0</v>
      </c>
      <c r="AK216" s="24">
        <f>IF(AN216=15,K216,0)</f>
        <v>0</v>
      </c>
      <c r="AL216" s="24">
        <f>IF(AN216=21,K216,0)</f>
        <v>0</v>
      </c>
      <c r="AN216" s="36">
        <v>21</v>
      </c>
      <c r="AO216" s="36">
        <f>H216*0</f>
        <v>0</v>
      </c>
      <c r="AP216" s="36">
        <f>H216*(1-0)</f>
        <v>0</v>
      </c>
      <c r="AQ216" s="37" t="s">
        <v>13</v>
      </c>
      <c r="AV216" s="36">
        <f>AW216+AX216</f>
        <v>0</v>
      </c>
      <c r="AW216" s="36">
        <f>G216*AO216</f>
        <v>0</v>
      </c>
      <c r="AX216" s="36">
        <f>G216*AP216</f>
        <v>0</v>
      </c>
      <c r="AY216" s="39" t="s">
        <v>702</v>
      </c>
      <c r="AZ216" s="39" t="s">
        <v>726</v>
      </c>
      <c r="BA216" s="34" t="s">
        <v>735</v>
      </c>
      <c r="BC216" s="36">
        <f>AW216+AX216</f>
        <v>0</v>
      </c>
      <c r="BD216" s="36">
        <f>H216/(100-BE216)*100</f>
        <v>0</v>
      </c>
      <c r="BE216" s="36">
        <v>0</v>
      </c>
      <c r="BF216" s="36">
        <f>O216</f>
        <v>0.3471</v>
      </c>
      <c r="BH216" s="24">
        <f>G216*AO216</f>
        <v>0</v>
      </c>
      <c r="BI216" s="24">
        <f>G216*AP216</f>
        <v>0</v>
      </c>
      <c r="BJ216" s="24">
        <f>G216*H216</f>
        <v>0</v>
      </c>
      <c r="BK216" s="24" t="s">
        <v>740</v>
      </c>
      <c r="BL216" s="36">
        <v>721</v>
      </c>
    </row>
    <row r="217" spans="1:16" ht="12.75">
      <c r="A217" s="100"/>
      <c r="B217" s="101"/>
      <c r="C217" s="92" t="s">
        <v>11</v>
      </c>
      <c r="E217" s="102" t="s">
        <v>610</v>
      </c>
      <c r="F217" s="101"/>
      <c r="G217" s="103">
        <v>5</v>
      </c>
      <c r="H217" s="101"/>
      <c r="I217" s="101"/>
      <c r="J217" s="101"/>
      <c r="K217" s="101"/>
      <c r="L217" s="101"/>
      <c r="M217" s="89"/>
      <c r="N217" s="104"/>
      <c r="O217" s="86"/>
      <c r="P217" s="85"/>
    </row>
    <row r="218" spans="1:16" ht="12.75">
      <c r="A218" s="100"/>
      <c r="B218" s="101"/>
      <c r="C218" s="92" t="s">
        <v>9</v>
      </c>
      <c r="E218" s="102" t="s">
        <v>611</v>
      </c>
      <c r="F218" s="101"/>
      <c r="G218" s="103">
        <v>3</v>
      </c>
      <c r="H218" s="101"/>
      <c r="I218" s="101"/>
      <c r="J218" s="101"/>
      <c r="K218" s="101"/>
      <c r="L218" s="101"/>
      <c r="M218" s="89"/>
      <c r="N218" s="104"/>
      <c r="O218" s="86"/>
      <c r="P218" s="85"/>
    </row>
    <row r="219" spans="1:16" ht="12.75">
      <c r="A219" s="100"/>
      <c r="B219" s="101"/>
      <c r="C219" s="92" t="s">
        <v>11</v>
      </c>
      <c r="E219" s="102" t="s">
        <v>612</v>
      </c>
      <c r="F219" s="101"/>
      <c r="G219" s="103">
        <v>5</v>
      </c>
      <c r="H219" s="101"/>
      <c r="I219" s="101"/>
      <c r="J219" s="101"/>
      <c r="K219" s="101"/>
      <c r="L219" s="101"/>
      <c r="M219" s="89"/>
      <c r="N219" s="104"/>
      <c r="O219" s="86"/>
      <c r="P219" s="85"/>
    </row>
    <row r="220" spans="1:64" ht="12.75">
      <c r="A220" s="88" t="s">
        <v>61</v>
      </c>
      <c r="B220" s="88" t="s">
        <v>194</v>
      </c>
      <c r="C220" s="156" t="s">
        <v>422</v>
      </c>
      <c r="D220" s="157"/>
      <c r="E220" s="158"/>
      <c r="F220" s="88" t="s">
        <v>657</v>
      </c>
      <c r="G220" s="96">
        <v>2</v>
      </c>
      <c r="H220" s="96">
        <v>0</v>
      </c>
      <c r="I220" s="96">
        <f>G220*AO220</f>
        <v>0</v>
      </c>
      <c r="J220" s="96">
        <f>G220*AP220</f>
        <v>0</v>
      </c>
      <c r="K220" s="96">
        <f>G220*H220</f>
        <v>0</v>
      </c>
      <c r="L220" s="96">
        <v>0.00209</v>
      </c>
      <c r="M220" s="81">
        <v>0</v>
      </c>
      <c r="N220" s="98">
        <v>0.00209</v>
      </c>
      <c r="O220" s="81">
        <f>G220*N220</f>
        <v>0.00418</v>
      </c>
      <c r="P220" s="85"/>
      <c r="Z220" s="36">
        <f>IF(AQ220="5",BJ220,0)</f>
        <v>0</v>
      </c>
      <c r="AB220" s="36">
        <f>IF(AQ220="1",BH220,0)</f>
        <v>0</v>
      </c>
      <c r="AC220" s="36">
        <f>IF(AQ220="1",BI220,0)</f>
        <v>0</v>
      </c>
      <c r="AD220" s="36">
        <f>IF(AQ220="7",BH220,0)</f>
        <v>0</v>
      </c>
      <c r="AE220" s="36">
        <f>IF(AQ220="7",BI220,0)</f>
        <v>0</v>
      </c>
      <c r="AF220" s="36">
        <f>IF(AQ220="2",BH220,0)</f>
        <v>0</v>
      </c>
      <c r="AG220" s="36">
        <f>IF(AQ220="2",BI220,0)</f>
        <v>0</v>
      </c>
      <c r="AH220" s="36">
        <f>IF(AQ220="0",BJ220,0)</f>
        <v>0</v>
      </c>
      <c r="AI220" s="34" t="s">
        <v>691</v>
      </c>
      <c r="AJ220" s="24">
        <f>IF(AN220=0,K220,0)</f>
        <v>0</v>
      </c>
      <c r="AK220" s="24">
        <f>IF(AN220=15,K220,0)</f>
        <v>0</v>
      </c>
      <c r="AL220" s="24">
        <f>IF(AN220=21,K220,0)</f>
        <v>0</v>
      </c>
      <c r="AN220" s="36">
        <v>21</v>
      </c>
      <c r="AO220" s="36">
        <f>H220*0.073981177548283</f>
        <v>0</v>
      </c>
      <c r="AP220" s="36">
        <f>H220*(1-0.073981177548283)</f>
        <v>0</v>
      </c>
      <c r="AQ220" s="37" t="s">
        <v>13</v>
      </c>
      <c r="AV220" s="36">
        <f>AW220+AX220</f>
        <v>0</v>
      </c>
      <c r="AW220" s="36">
        <f>G220*AO220</f>
        <v>0</v>
      </c>
      <c r="AX220" s="36">
        <f>G220*AP220</f>
        <v>0</v>
      </c>
      <c r="AY220" s="39" t="s">
        <v>702</v>
      </c>
      <c r="AZ220" s="39" t="s">
        <v>726</v>
      </c>
      <c r="BA220" s="34" t="s">
        <v>735</v>
      </c>
      <c r="BC220" s="36">
        <f>AW220+AX220</f>
        <v>0</v>
      </c>
      <c r="BD220" s="36">
        <f>H220/(100-BE220)*100</f>
        <v>0</v>
      </c>
      <c r="BE220" s="36">
        <v>0</v>
      </c>
      <c r="BF220" s="36">
        <f>O220</f>
        <v>0.00418</v>
      </c>
      <c r="BH220" s="24">
        <f>G220*AO220</f>
        <v>0</v>
      </c>
      <c r="BI220" s="24">
        <f>G220*AP220</f>
        <v>0</v>
      </c>
      <c r="BJ220" s="24">
        <f>G220*H220</f>
        <v>0</v>
      </c>
      <c r="BK220" s="24" t="s">
        <v>740</v>
      </c>
      <c r="BL220" s="36">
        <v>721</v>
      </c>
    </row>
    <row r="221" spans="1:16" ht="12.75">
      <c r="A221" s="100"/>
      <c r="B221" s="101"/>
      <c r="C221" s="92" t="s">
        <v>7</v>
      </c>
      <c r="E221" s="102" t="s">
        <v>613</v>
      </c>
      <c r="F221" s="101"/>
      <c r="G221" s="103">
        <v>1</v>
      </c>
      <c r="H221" s="101"/>
      <c r="I221" s="101"/>
      <c r="J221" s="101"/>
      <c r="K221" s="101"/>
      <c r="L221" s="101"/>
      <c r="M221" s="89"/>
      <c r="N221" s="104"/>
      <c r="O221" s="86"/>
      <c r="P221" s="85"/>
    </row>
    <row r="222" spans="1:16" ht="12.75">
      <c r="A222" s="100"/>
      <c r="B222" s="101"/>
      <c r="C222" s="92" t="s">
        <v>7</v>
      </c>
      <c r="E222" s="102" t="s">
        <v>614</v>
      </c>
      <c r="F222" s="101"/>
      <c r="G222" s="103">
        <v>1</v>
      </c>
      <c r="H222" s="101"/>
      <c r="I222" s="101"/>
      <c r="J222" s="101"/>
      <c r="K222" s="101"/>
      <c r="L222" s="101"/>
      <c r="M222" s="89"/>
      <c r="N222" s="104"/>
      <c r="O222" s="86"/>
      <c r="P222" s="85"/>
    </row>
    <row r="223" spans="1:64" ht="12.75">
      <c r="A223" s="88" t="s">
        <v>62</v>
      </c>
      <c r="B223" s="88" t="s">
        <v>195</v>
      </c>
      <c r="C223" s="156" t="s">
        <v>423</v>
      </c>
      <c r="D223" s="157"/>
      <c r="E223" s="158"/>
      <c r="F223" s="88" t="s">
        <v>657</v>
      </c>
      <c r="G223" s="96">
        <v>9</v>
      </c>
      <c r="H223" s="96">
        <v>0</v>
      </c>
      <c r="I223" s="96">
        <f>G223*AO223</f>
        <v>0</v>
      </c>
      <c r="J223" s="96">
        <f>G223*AP223</f>
        <v>0</v>
      </c>
      <c r="K223" s="96">
        <f>G223*H223</f>
        <v>0</v>
      </c>
      <c r="L223" s="96">
        <v>0.0078</v>
      </c>
      <c r="M223" s="81">
        <v>0</v>
      </c>
      <c r="N223" s="98">
        <v>0.0078</v>
      </c>
      <c r="O223" s="81">
        <f>G223*N223</f>
        <v>0.0702</v>
      </c>
      <c r="P223" s="85"/>
      <c r="Z223" s="36">
        <f>IF(AQ223="5",BJ223,0)</f>
        <v>0</v>
      </c>
      <c r="AB223" s="36">
        <f>IF(AQ223="1",BH223,0)</f>
        <v>0</v>
      </c>
      <c r="AC223" s="36">
        <f>IF(AQ223="1",BI223,0)</f>
        <v>0</v>
      </c>
      <c r="AD223" s="36">
        <f>IF(AQ223="7",BH223,0)</f>
        <v>0</v>
      </c>
      <c r="AE223" s="36">
        <f>IF(AQ223="7",BI223,0)</f>
        <v>0</v>
      </c>
      <c r="AF223" s="36">
        <f>IF(AQ223="2",BH223,0)</f>
        <v>0</v>
      </c>
      <c r="AG223" s="36">
        <f>IF(AQ223="2",BI223,0)</f>
        <v>0</v>
      </c>
      <c r="AH223" s="36">
        <f>IF(AQ223="0",BJ223,0)</f>
        <v>0</v>
      </c>
      <c r="AI223" s="34" t="s">
        <v>691</v>
      </c>
      <c r="AJ223" s="24">
        <f>IF(AN223=0,K223,0)</f>
        <v>0</v>
      </c>
      <c r="AK223" s="24">
        <f>IF(AN223=15,K223,0)</f>
        <v>0</v>
      </c>
      <c r="AL223" s="24">
        <f>IF(AN223=21,K223,0)</f>
        <v>0</v>
      </c>
      <c r="AN223" s="36">
        <v>21</v>
      </c>
      <c r="AO223" s="36">
        <f>H223*0.300416490613871</f>
        <v>0</v>
      </c>
      <c r="AP223" s="36">
        <f>H223*(1-0.300416490613871)</f>
        <v>0</v>
      </c>
      <c r="AQ223" s="37" t="s">
        <v>13</v>
      </c>
      <c r="AV223" s="36">
        <f>AW223+AX223</f>
        <v>0</v>
      </c>
      <c r="AW223" s="36">
        <f>G223*AO223</f>
        <v>0</v>
      </c>
      <c r="AX223" s="36">
        <f>G223*AP223</f>
        <v>0</v>
      </c>
      <c r="AY223" s="39" t="s">
        <v>702</v>
      </c>
      <c r="AZ223" s="39" t="s">
        <v>726</v>
      </c>
      <c r="BA223" s="34" t="s">
        <v>735</v>
      </c>
      <c r="BC223" s="36">
        <f>AW223+AX223</f>
        <v>0</v>
      </c>
      <c r="BD223" s="36">
        <f>H223/(100-BE223)*100</f>
        <v>0</v>
      </c>
      <c r="BE223" s="36">
        <v>0</v>
      </c>
      <c r="BF223" s="36">
        <f>O223</f>
        <v>0.0702</v>
      </c>
      <c r="BH223" s="24">
        <f>G223*AO223</f>
        <v>0</v>
      </c>
      <c r="BI223" s="24">
        <f>G223*AP223</f>
        <v>0</v>
      </c>
      <c r="BJ223" s="24">
        <f>G223*H223</f>
        <v>0</v>
      </c>
      <c r="BK223" s="24" t="s">
        <v>740</v>
      </c>
      <c r="BL223" s="36">
        <v>721</v>
      </c>
    </row>
    <row r="224" spans="1:16" ht="12.75">
      <c r="A224" s="100"/>
      <c r="B224" s="101"/>
      <c r="C224" s="92" t="s">
        <v>424</v>
      </c>
      <c r="E224" s="102" t="s">
        <v>615</v>
      </c>
      <c r="F224" s="101"/>
      <c r="G224" s="103">
        <v>2</v>
      </c>
      <c r="H224" s="101"/>
      <c r="I224" s="101"/>
      <c r="J224" s="101"/>
      <c r="K224" s="101"/>
      <c r="L224" s="101"/>
      <c r="M224" s="89"/>
      <c r="N224" s="104"/>
      <c r="O224" s="86"/>
      <c r="P224" s="85"/>
    </row>
    <row r="225" spans="1:16" ht="12.75">
      <c r="A225" s="100"/>
      <c r="B225" s="101"/>
      <c r="C225" s="92" t="s">
        <v>424</v>
      </c>
      <c r="E225" s="102" t="s">
        <v>612</v>
      </c>
      <c r="F225" s="101"/>
      <c r="G225" s="103">
        <v>2</v>
      </c>
      <c r="H225" s="101"/>
      <c r="I225" s="101"/>
      <c r="J225" s="101"/>
      <c r="K225" s="101"/>
      <c r="L225" s="101"/>
      <c r="M225" s="89"/>
      <c r="N225" s="104"/>
      <c r="O225" s="86"/>
      <c r="P225" s="85"/>
    </row>
    <row r="226" spans="1:16" ht="12.75">
      <c r="A226" s="100"/>
      <c r="B226" s="101"/>
      <c r="C226" s="92" t="s">
        <v>7</v>
      </c>
      <c r="E226" s="102" t="s">
        <v>616</v>
      </c>
      <c r="F226" s="101"/>
      <c r="G226" s="103">
        <v>1</v>
      </c>
      <c r="H226" s="101"/>
      <c r="I226" s="101"/>
      <c r="J226" s="101"/>
      <c r="K226" s="101"/>
      <c r="L226" s="101"/>
      <c r="M226" s="89"/>
      <c r="N226" s="104"/>
      <c r="O226" s="86"/>
      <c r="P226" s="85"/>
    </row>
    <row r="227" spans="1:16" ht="12.75">
      <c r="A227" s="100"/>
      <c r="B227" s="101"/>
      <c r="C227" s="92" t="s">
        <v>425</v>
      </c>
      <c r="E227" s="102" t="s">
        <v>617</v>
      </c>
      <c r="F227" s="101"/>
      <c r="G227" s="103">
        <v>4</v>
      </c>
      <c r="H227" s="101"/>
      <c r="I227" s="101"/>
      <c r="J227" s="101"/>
      <c r="K227" s="101"/>
      <c r="L227" s="101"/>
      <c r="M227" s="89"/>
      <c r="N227" s="104"/>
      <c r="O227" s="86"/>
      <c r="P227" s="85"/>
    </row>
    <row r="228" spans="1:64" ht="12.75">
      <c r="A228" s="88" t="s">
        <v>63</v>
      </c>
      <c r="B228" s="88" t="s">
        <v>196</v>
      </c>
      <c r="C228" s="156" t="s">
        <v>426</v>
      </c>
      <c r="D228" s="157"/>
      <c r="E228" s="158"/>
      <c r="F228" s="88" t="s">
        <v>654</v>
      </c>
      <c r="G228" s="96">
        <v>66</v>
      </c>
      <c r="H228" s="96">
        <v>0</v>
      </c>
      <c r="I228" s="96">
        <f>G228*AO228</f>
        <v>0</v>
      </c>
      <c r="J228" s="96">
        <f>G228*AP228</f>
        <v>0</v>
      </c>
      <c r="K228" s="96">
        <f>G228*H228</f>
        <v>0</v>
      </c>
      <c r="L228" s="96">
        <v>0.00357</v>
      </c>
      <c r="M228" s="81">
        <v>0</v>
      </c>
      <c r="N228" s="98">
        <v>0.00357</v>
      </c>
      <c r="O228" s="81">
        <f>G228*N228</f>
        <v>0.23562</v>
      </c>
      <c r="P228" s="85"/>
      <c r="Z228" s="36">
        <f>IF(AQ228="5",BJ228,0)</f>
        <v>0</v>
      </c>
      <c r="AB228" s="36">
        <f>IF(AQ228="1",BH228,0)</f>
        <v>0</v>
      </c>
      <c r="AC228" s="36">
        <f>IF(AQ228="1",BI228,0)</f>
        <v>0</v>
      </c>
      <c r="AD228" s="36">
        <f>IF(AQ228="7",BH228,0)</f>
        <v>0</v>
      </c>
      <c r="AE228" s="36">
        <f>IF(AQ228="7",BI228,0)</f>
        <v>0</v>
      </c>
      <c r="AF228" s="36">
        <f>IF(AQ228="2",BH228,0)</f>
        <v>0</v>
      </c>
      <c r="AG228" s="36">
        <f>IF(AQ228="2",BI228,0)</f>
        <v>0</v>
      </c>
      <c r="AH228" s="36">
        <f>IF(AQ228="0",BJ228,0)</f>
        <v>0</v>
      </c>
      <c r="AI228" s="34" t="s">
        <v>691</v>
      </c>
      <c r="AJ228" s="24">
        <f>IF(AN228=0,K228,0)</f>
        <v>0</v>
      </c>
      <c r="AK228" s="24">
        <f>IF(AN228=15,K228,0)</f>
        <v>0</v>
      </c>
      <c r="AL228" s="24">
        <f>IF(AN228=21,K228,0)</f>
        <v>0</v>
      </c>
      <c r="AN228" s="36">
        <v>21</v>
      </c>
      <c r="AO228" s="36">
        <f>H228*0.656379974326059</f>
        <v>0</v>
      </c>
      <c r="AP228" s="36">
        <f>H228*(1-0.656379974326059)</f>
        <v>0</v>
      </c>
      <c r="AQ228" s="37" t="s">
        <v>13</v>
      </c>
      <c r="AV228" s="36">
        <f>AW228+AX228</f>
        <v>0</v>
      </c>
      <c r="AW228" s="36">
        <f>G228*AO228</f>
        <v>0</v>
      </c>
      <c r="AX228" s="36">
        <f>G228*AP228</f>
        <v>0</v>
      </c>
      <c r="AY228" s="39" t="s">
        <v>702</v>
      </c>
      <c r="AZ228" s="39" t="s">
        <v>726</v>
      </c>
      <c r="BA228" s="34" t="s">
        <v>735</v>
      </c>
      <c r="BC228" s="36">
        <f>AW228+AX228</f>
        <v>0</v>
      </c>
      <c r="BD228" s="36">
        <f>H228/(100-BE228)*100</f>
        <v>0</v>
      </c>
      <c r="BE228" s="36">
        <v>0</v>
      </c>
      <c r="BF228" s="36">
        <f>O228</f>
        <v>0.23562</v>
      </c>
      <c r="BH228" s="24">
        <f>G228*AO228</f>
        <v>0</v>
      </c>
      <c r="BI228" s="24">
        <f>G228*AP228</f>
        <v>0</v>
      </c>
      <c r="BJ228" s="24">
        <f>G228*H228</f>
        <v>0</v>
      </c>
      <c r="BK228" s="24" t="s">
        <v>740</v>
      </c>
      <c r="BL228" s="36">
        <v>721</v>
      </c>
    </row>
    <row r="229" spans="1:16" ht="12.75">
      <c r="A229" s="100"/>
      <c r="B229" s="101"/>
      <c r="C229" s="92" t="s">
        <v>41</v>
      </c>
      <c r="E229" s="102" t="s">
        <v>618</v>
      </c>
      <c r="F229" s="101"/>
      <c r="G229" s="103">
        <v>35</v>
      </c>
      <c r="H229" s="101"/>
      <c r="I229" s="101"/>
      <c r="J229" s="101"/>
      <c r="K229" s="101"/>
      <c r="L229" s="101"/>
      <c r="M229" s="89"/>
      <c r="N229" s="104"/>
      <c r="O229" s="86"/>
      <c r="P229" s="85"/>
    </row>
    <row r="230" spans="1:16" ht="12.75">
      <c r="A230" s="100"/>
      <c r="B230" s="101"/>
      <c r="C230" s="92" t="s">
        <v>32</v>
      </c>
      <c r="E230" s="102" t="s">
        <v>619</v>
      </c>
      <c r="F230" s="101"/>
      <c r="G230" s="103">
        <v>26</v>
      </c>
      <c r="H230" s="101"/>
      <c r="I230" s="101"/>
      <c r="J230" s="101"/>
      <c r="K230" s="101"/>
      <c r="L230" s="101"/>
      <c r="M230" s="89"/>
      <c r="N230" s="104"/>
      <c r="O230" s="86"/>
      <c r="P230" s="85"/>
    </row>
    <row r="231" spans="1:16" ht="12.75">
      <c r="A231" s="100"/>
      <c r="B231" s="101"/>
      <c r="C231" s="92" t="s">
        <v>11</v>
      </c>
      <c r="E231" s="102" t="s">
        <v>620</v>
      </c>
      <c r="F231" s="101"/>
      <c r="G231" s="103">
        <v>5</v>
      </c>
      <c r="H231" s="101"/>
      <c r="I231" s="101"/>
      <c r="J231" s="101"/>
      <c r="K231" s="101"/>
      <c r="L231" s="101"/>
      <c r="M231" s="89"/>
      <c r="N231" s="104"/>
      <c r="O231" s="86"/>
      <c r="P231" s="85"/>
    </row>
    <row r="232" spans="1:64" ht="12.75">
      <c r="A232" s="88" t="s">
        <v>64</v>
      </c>
      <c r="B232" s="88" t="s">
        <v>197</v>
      </c>
      <c r="C232" s="156" t="s">
        <v>427</v>
      </c>
      <c r="D232" s="157"/>
      <c r="E232" s="158"/>
      <c r="F232" s="88" t="s">
        <v>657</v>
      </c>
      <c r="G232" s="96">
        <v>2</v>
      </c>
      <c r="H232" s="96">
        <v>0</v>
      </c>
      <c r="I232" s="96">
        <f>G232*AO232</f>
        <v>0</v>
      </c>
      <c r="J232" s="96">
        <f>G232*AP232</f>
        <v>0</v>
      </c>
      <c r="K232" s="96">
        <f>G232*H232</f>
        <v>0</v>
      </c>
      <c r="L232" s="96">
        <v>0</v>
      </c>
      <c r="M232" s="81">
        <v>0.02517</v>
      </c>
      <c r="N232" s="98">
        <v>0.02517</v>
      </c>
      <c r="O232" s="81">
        <f>G232*N232</f>
        <v>0.05034</v>
      </c>
      <c r="P232" s="85"/>
      <c r="Z232" s="36">
        <f>IF(AQ232="5",BJ232,0)</f>
        <v>0</v>
      </c>
      <c r="AB232" s="36">
        <f>IF(AQ232="1",BH232,0)</f>
        <v>0</v>
      </c>
      <c r="AC232" s="36">
        <f>IF(AQ232="1",BI232,0)</f>
        <v>0</v>
      </c>
      <c r="AD232" s="36">
        <f>IF(AQ232="7",BH232,0)</f>
        <v>0</v>
      </c>
      <c r="AE232" s="36">
        <f>IF(AQ232="7",BI232,0)</f>
        <v>0</v>
      </c>
      <c r="AF232" s="36">
        <f>IF(AQ232="2",BH232,0)</f>
        <v>0</v>
      </c>
      <c r="AG232" s="36">
        <f>IF(AQ232="2",BI232,0)</f>
        <v>0</v>
      </c>
      <c r="AH232" s="36">
        <f>IF(AQ232="0",BJ232,0)</f>
        <v>0</v>
      </c>
      <c r="AI232" s="34" t="s">
        <v>691</v>
      </c>
      <c r="AJ232" s="24">
        <f>IF(AN232=0,K232,0)</f>
        <v>0</v>
      </c>
      <c r="AK232" s="24">
        <f>IF(AN232=15,K232,0)</f>
        <v>0</v>
      </c>
      <c r="AL232" s="24">
        <f>IF(AN232=21,K232,0)</f>
        <v>0</v>
      </c>
      <c r="AN232" s="36">
        <v>21</v>
      </c>
      <c r="AO232" s="36">
        <f>H232*0</f>
        <v>0</v>
      </c>
      <c r="AP232" s="36">
        <f>H232*(1-0)</f>
        <v>0</v>
      </c>
      <c r="AQ232" s="37" t="s">
        <v>13</v>
      </c>
      <c r="AV232" s="36">
        <f>AW232+AX232</f>
        <v>0</v>
      </c>
      <c r="AW232" s="36">
        <f>G232*AO232</f>
        <v>0</v>
      </c>
      <c r="AX232" s="36">
        <f>G232*AP232</f>
        <v>0</v>
      </c>
      <c r="AY232" s="39" t="s">
        <v>702</v>
      </c>
      <c r="AZ232" s="39" t="s">
        <v>726</v>
      </c>
      <c r="BA232" s="34" t="s">
        <v>735</v>
      </c>
      <c r="BC232" s="36">
        <f>AW232+AX232</f>
        <v>0</v>
      </c>
      <c r="BD232" s="36">
        <f>H232/(100-BE232)*100</f>
        <v>0</v>
      </c>
      <c r="BE232" s="36">
        <v>0</v>
      </c>
      <c r="BF232" s="36">
        <f>O232</f>
        <v>0.05034</v>
      </c>
      <c r="BH232" s="24">
        <f>G232*AO232</f>
        <v>0</v>
      </c>
      <c r="BI232" s="24">
        <f>G232*AP232</f>
        <v>0</v>
      </c>
      <c r="BJ232" s="24">
        <f>G232*H232</f>
        <v>0</v>
      </c>
      <c r="BK232" s="24" t="s">
        <v>740</v>
      </c>
      <c r="BL232" s="36">
        <v>721</v>
      </c>
    </row>
    <row r="233" spans="1:16" ht="12.75">
      <c r="A233" s="100"/>
      <c r="B233" s="101"/>
      <c r="C233" s="92" t="s">
        <v>8</v>
      </c>
      <c r="E233" s="102"/>
      <c r="F233" s="101"/>
      <c r="G233" s="103">
        <v>2</v>
      </c>
      <c r="H233" s="101"/>
      <c r="I233" s="101"/>
      <c r="J233" s="101"/>
      <c r="K233" s="101"/>
      <c r="L233" s="101"/>
      <c r="M233" s="89"/>
      <c r="N233" s="104"/>
      <c r="O233" s="86"/>
      <c r="P233" s="85"/>
    </row>
    <row r="234" spans="1:64" ht="12.75">
      <c r="A234" s="88" t="s">
        <v>65</v>
      </c>
      <c r="B234" s="88" t="s">
        <v>198</v>
      </c>
      <c r="C234" s="156" t="s">
        <v>428</v>
      </c>
      <c r="D234" s="157"/>
      <c r="E234" s="158"/>
      <c r="F234" s="88" t="s">
        <v>657</v>
      </c>
      <c r="G234" s="96">
        <v>2</v>
      </c>
      <c r="H234" s="96">
        <v>0</v>
      </c>
      <c r="I234" s="96">
        <f>G234*AO234</f>
        <v>0</v>
      </c>
      <c r="J234" s="96">
        <f>G234*AP234</f>
        <v>0</v>
      </c>
      <c r="K234" s="96">
        <f>G234*H234</f>
        <v>0</v>
      </c>
      <c r="L234" s="96">
        <v>0</v>
      </c>
      <c r="M234" s="81">
        <v>0.02517</v>
      </c>
      <c r="N234" s="98">
        <v>0.02517</v>
      </c>
      <c r="O234" s="81">
        <f>G234*N234</f>
        <v>0.05034</v>
      </c>
      <c r="P234" s="85"/>
      <c r="Z234" s="36">
        <f>IF(AQ234="5",BJ234,0)</f>
        <v>0</v>
      </c>
      <c r="AB234" s="36">
        <f>IF(AQ234="1",BH234,0)</f>
        <v>0</v>
      </c>
      <c r="AC234" s="36">
        <f>IF(AQ234="1",BI234,0)</f>
        <v>0</v>
      </c>
      <c r="AD234" s="36">
        <f>IF(AQ234="7",BH234,0)</f>
        <v>0</v>
      </c>
      <c r="AE234" s="36">
        <f>IF(AQ234="7",BI234,0)</f>
        <v>0</v>
      </c>
      <c r="AF234" s="36">
        <f>IF(AQ234="2",BH234,0)</f>
        <v>0</v>
      </c>
      <c r="AG234" s="36">
        <f>IF(AQ234="2",BI234,0)</f>
        <v>0</v>
      </c>
      <c r="AH234" s="36">
        <f>IF(AQ234="0",BJ234,0)</f>
        <v>0</v>
      </c>
      <c r="AI234" s="34" t="s">
        <v>691</v>
      </c>
      <c r="AJ234" s="24">
        <f>IF(AN234=0,K234,0)</f>
        <v>0</v>
      </c>
      <c r="AK234" s="24">
        <f>IF(AN234=15,K234,0)</f>
        <v>0</v>
      </c>
      <c r="AL234" s="24">
        <f>IF(AN234=21,K234,0)</f>
        <v>0</v>
      </c>
      <c r="AN234" s="36">
        <v>21</v>
      </c>
      <c r="AO234" s="36">
        <f>H234*0</f>
        <v>0</v>
      </c>
      <c r="AP234" s="36">
        <f>H234*(1-0)</f>
        <v>0</v>
      </c>
      <c r="AQ234" s="37" t="s">
        <v>13</v>
      </c>
      <c r="AV234" s="36">
        <f>AW234+AX234</f>
        <v>0</v>
      </c>
      <c r="AW234" s="36">
        <f>G234*AO234</f>
        <v>0</v>
      </c>
      <c r="AX234" s="36">
        <f>G234*AP234</f>
        <v>0</v>
      </c>
      <c r="AY234" s="39" t="s">
        <v>702</v>
      </c>
      <c r="AZ234" s="39" t="s">
        <v>726</v>
      </c>
      <c r="BA234" s="34" t="s">
        <v>735</v>
      </c>
      <c r="BC234" s="36">
        <f>AW234+AX234</f>
        <v>0</v>
      </c>
      <c r="BD234" s="36">
        <f>H234/(100-BE234)*100</f>
        <v>0</v>
      </c>
      <c r="BE234" s="36">
        <v>0</v>
      </c>
      <c r="BF234" s="36">
        <f>O234</f>
        <v>0.05034</v>
      </c>
      <c r="BH234" s="24">
        <f>G234*AO234</f>
        <v>0</v>
      </c>
      <c r="BI234" s="24">
        <f>G234*AP234</f>
        <v>0</v>
      </c>
      <c r="BJ234" s="24">
        <f>G234*H234</f>
        <v>0</v>
      </c>
      <c r="BK234" s="24" t="s">
        <v>740</v>
      </c>
      <c r="BL234" s="36">
        <v>721</v>
      </c>
    </row>
    <row r="235" spans="1:16" ht="12.75">
      <c r="A235" s="100"/>
      <c r="B235" s="101"/>
      <c r="C235" s="92" t="s">
        <v>8</v>
      </c>
      <c r="E235" s="102"/>
      <c r="F235" s="101"/>
      <c r="G235" s="103">
        <v>2</v>
      </c>
      <c r="H235" s="101"/>
      <c r="I235" s="101"/>
      <c r="J235" s="101"/>
      <c r="K235" s="101"/>
      <c r="L235" s="101"/>
      <c r="M235" s="89"/>
      <c r="N235" s="104"/>
      <c r="O235" s="86"/>
      <c r="P235" s="85"/>
    </row>
    <row r="236" spans="1:64" ht="12.75">
      <c r="A236" s="106" t="s">
        <v>66</v>
      </c>
      <c r="B236" s="106" t="s">
        <v>199</v>
      </c>
      <c r="C236" s="171" t="s">
        <v>429</v>
      </c>
      <c r="D236" s="172"/>
      <c r="E236" s="173"/>
      <c r="F236" s="106" t="s">
        <v>657</v>
      </c>
      <c r="G236" s="107">
        <v>2</v>
      </c>
      <c r="H236" s="107">
        <v>0</v>
      </c>
      <c r="I236" s="107">
        <f>G236*AO236</f>
        <v>0</v>
      </c>
      <c r="J236" s="107">
        <f>G236*AP236</f>
        <v>0</v>
      </c>
      <c r="K236" s="107">
        <f>G236*H236</f>
        <v>0</v>
      </c>
      <c r="L236" s="107">
        <v>0.00106</v>
      </c>
      <c r="M236" s="105">
        <v>0</v>
      </c>
      <c r="N236" s="108">
        <v>0.00106</v>
      </c>
      <c r="O236" s="105">
        <f>G236*N236</f>
        <v>0.00212</v>
      </c>
      <c r="P236" s="85"/>
      <c r="Z236" s="36">
        <f>IF(AQ236="5",BJ236,0)</f>
        <v>0</v>
      </c>
      <c r="AB236" s="36">
        <f>IF(AQ236="1",BH236,0)</f>
        <v>0</v>
      </c>
      <c r="AC236" s="36">
        <f>IF(AQ236="1",BI236,0)</f>
        <v>0</v>
      </c>
      <c r="AD236" s="36">
        <f>IF(AQ236="7",BH236,0)</f>
        <v>0</v>
      </c>
      <c r="AE236" s="36">
        <f>IF(AQ236="7",BI236,0)</f>
        <v>0</v>
      </c>
      <c r="AF236" s="36">
        <f>IF(AQ236="2",BH236,0)</f>
        <v>0</v>
      </c>
      <c r="AG236" s="36">
        <f>IF(AQ236="2",BI236,0)</f>
        <v>0</v>
      </c>
      <c r="AH236" s="36">
        <f>IF(AQ236="0",BJ236,0)</f>
        <v>0</v>
      </c>
      <c r="AI236" s="34" t="s">
        <v>691</v>
      </c>
      <c r="AJ236" s="26">
        <f>IF(AN236=0,K236,0)</f>
        <v>0</v>
      </c>
      <c r="AK236" s="26">
        <f>IF(AN236=15,K236,0)</f>
        <v>0</v>
      </c>
      <c r="AL236" s="26">
        <f>IF(AN236=21,K236,0)</f>
        <v>0</v>
      </c>
      <c r="AN236" s="36">
        <v>21</v>
      </c>
      <c r="AO236" s="36">
        <f>H236*1</f>
        <v>0</v>
      </c>
      <c r="AP236" s="36">
        <f>H236*(1-1)</f>
        <v>0</v>
      </c>
      <c r="AQ236" s="38" t="s">
        <v>13</v>
      </c>
      <c r="AV236" s="36">
        <f>AW236+AX236</f>
        <v>0</v>
      </c>
      <c r="AW236" s="36">
        <f>G236*AO236</f>
        <v>0</v>
      </c>
      <c r="AX236" s="36">
        <f>G236*AP236</f>
        <v>0</v>
      </c>
      <c r="AY236" s="39" t="s">
        <v>702</v>
      </c>
      <c r="AZ236" s="39" t="s">
        <v>726</v>
      </c>
      <c r="BA236" s="34" t="s">
        <v>735</v>
      </c>
      <c r="BC236" s="36">
        <f>AW236+AX236</f>
        <v>0</v>
      </c>
      <c r="BD236" s="36">
        <f>H236/(100-BE236)*100</f>
        <v>0</v>
      </c>
      <c r="BE236" s="36">
        <v>0</v>
      </c>
      <c r="BF236" s="36">
        <f>O236</f>
        <v>0.00212</v>
      </c>
      <c r="BH236" s="26">
        <f>G236*AO236</f>
        <v>0</v>
      </c>
      <c r="BI236" s="26">
        <f>G236*AP236</f>
        <v>0</v>
      </c>
      <c r="BJ236" s="26">
        <f>G236*H236</f>
        <v>0</v>
      </c>
      <c r="BK236" s="26" t="s">
        <v>741</v>
      </c>
      <c r="BL236" s="36">
        <v>721</v>
      </c>
    </row>
    <row r="237" spans="1:64" ht="12.75">
      <c r="A237" s="88" t="s">
        <v>67</v>
      </c>
      <c r="B237" s="88" t="s">
        <v>200</v>
      </c>
      <c r="C237" s="156" t="s">
        <v>430</v>
      </c>
      <c r="D237" s="157"/>
      <c r="E237" s="158"/>
      <c r="F237" s="88" t="s">
        <v>654</v>
      </c>
      <c r="G237" s="96">
        <v>66</v>
      </c>
      <c r="H237" s="96">
        <v>0</v>
      </c>
      <c r="I237" s="96">
        <f>G237*AO237</f>
        <v>0</v>
      </c>
      <c r="J237" s="96">
        <f>G237*AP237</f>
        <v>0</v>
      </c>
      <c r="K237" s="96">
        <f>G237*H237</f>
        <v>0</v>
      </c>
      <c r="L237" s="96">
        <v>0</v>
      </c>
      <c r="M237" s="81">
        <v>0</v>
      </c>
      <c r="N237" s="98">
        <v>0</v>
      </c>
      <c r="O237" s="81">
        <f>G237*N237</f>
        <v>0</v>
      </c>
      <c r="P237" s="85"/>
      <c r="Z237" s="36">
        <f>IF(AQ237="5",BJ237,0)</f>
        <v>0</v>
      </c>
      <c r="AB237" s="36">
        <f>IF(AQ237="1",BH237,0)</f>
        <v>0</v>
      </c>
      <c r="AC237" s="36">
        <f>IF(AQ237="1",BI237,0)</f>
        <v>0</v>
      </c>
      <c r="AD237" s="36">
        <f>IF(AQ237="7",BH237,0)</f>
        <v>0</v>
      </c>
      <c r="AE237" s="36">
        <f>IF(AQ237="7",BI237,0)</f>
        <v>0</v>
      </c>
      <c r="AF237" s="36">
        <f>IF(AQ237="2",BH237,0)</f>
        <v>0</v>
      </c>
      <c r="AG237" s="36">
        <f>IF(AQ237="2",BI237,0)</f>
        <v>0</v>
      </c>
      <c r="AH237" s="36">
        <f>IF(AQ237="0",BJ237,0)</f>
        <v>0</v>
      </c>
      <c r="AI237" s="34" t="s">
        <v>691</v>
      </c>
      <c r="AJ237" s="24">
        <f>IF(AN237=0,K237,0)</f>
        <v>0</v>
      </c>
      <c r="AK237" s="24">
        <f>IF(AN237=15,K237,0)</f>
        <v>0</v>
      </c>
      <c r="AL237" s="24">
        <f>IF(AN237=21,K237,0)</f>
        <v>0</v>
      </c>
      <c r="AN237" s="36">
        <v>21</v>
      </c>
      <c r="AO237" s="36">
        <f>H237*0.0824281150159744</f>
        <v>0</v>
      </c>
      <c r="AP237" s="36">
        <f>H237*(1-0.0824281150159744)</f>
        <v>0</v>
      </c>
      <c r="AQ237" s="37" t="s">
        <v>13</v>
      </c>
      <c r="AV237" s="36">
        <f>AW237+AX237</f>
        <v>0</v>
      </c>
      <c r="AW237" s="36">
        <f>G237*AO237</f>
        <v>0</v>
      </c>
      <c r="AX237" s="36">
        <f>G237*AP237</f>
        <v>0</v>
      </c>
      <c r="AY237" s="39" t="s">
        <v>702</v>
      </c>
      <c r="AZ237" s="39" t="s">
        <v>726</v>
      </c>
      <c r="BA237" s="34" t="s">
        <v>735</v>
      </c>
      <c r="BC237" s="36">
        <f>AW237+AX237</f>
        <v>0</v>
      </c>
      <c r="BD237" s="36">
        <f>H237/(100-BE237)*100</f>
        <v>0</v>
      </c>
      <c r="BE237" s="36">
        <v>0</v>
      </c>
      <c r="BF237" s="36">
        <f>O237</f>
        <v>0</v>
      </c>
      <c r="BH237" s="24">
        <f>G237*AO237</f>
        <v>0</v>
      </c>
      <c r="BI237" s="24">
        <f>G237*AP237</f>
        <v>0</v>
      </c>
      <c r="BJ237" s="24">
        <f>G237*H237</f>
        <v>0</v>
      </c>
      <c r="BK237" s="24" t="s">
        <v>740</v>
      </c>
      <c r="BL237" s="36">
        <v>721</v>
      </c>
    </row>
    <row r="238" spans="1:64" ht="12.75">
      <c r="A238" s="80" t="s">
        <v>68</v>
      </c>
      <c r="B238" s="80" t="s">
        <v>201</v>
      </c>
      <c r="C238" s="162" t="s">
        <v>431</v>
      </c>
      <c r="D238" s="157"/>
      <c r="E238" s="164"/>
      <c r="F238" s="80" t="s">
        <v>657</v>
      </c>
      <c r="G238" s="83">
        <v>3</v>
      </c>
      <c r="H238" s="83">
        <v>0</v>
      </c>
      <c r="I238" s="83">
        <f>G238*AO238</f>
        <v>0</v>
      </c>
      <c r="J238" s="83">
        <f>G238*AP238</f>
        <v>0</v>
      </c>
      <c r="K238" s="83">
        <f>G238*H238</f>
        <v>0</v>
      </c>
      <c r="L238" s="83">
        <v>0.04199</v>
      </c>
      <c r="M238" s="82">
        <v>0</v>
      </c>
      <c r="N238" s="84">
        <v>0.04199</v>
      </c>
      <c r="O238" s="82">
        <f>G238*N238</f>
        <v>0.12597</v>
      </c>
      <c r="P238" s="85"/>
      <c r="Z238" s="36">
        <f>IF(AQ238="5",BJ238,0)</f>
        <v>0</v>
      </c>
      <c r="AB238" s="36">
        <f>IF(AQ238="1",BH238,0)</f>
        <v>0</v>
      </c>
      <c r="AC238" s="36">
        <f>IF(AQ238="1",BI238,0)</f>
        <v>0</v>
      </c>
      <c r="AD238" s="36">
        <f>IF(AQ238="7",BH238,0)</f>
        <v>0</v>
      </c>
      <c r="AE238" s="36">
        <f>IF(AQ238="7",BI238,0)</f>
        <v>0</v>
      </c>
      <c r="AF238" s="36">
        <f>IF(AQ238="2",BH238,0)</f>
        <v>0</v>
      </c>
      <c r="AG238" s="36">
        <f>IF(AQ238="2",BI238,0)</f>
        <v>0</v>
      </c>
      <c r="AH238" s="36">
        <f>IF(AQ238="0",BJ238,0)</f>
        <v>0</v>
      </c>
      <c r="AI238" s="34" t="s">
        <v>691</v>
      </c>
      <c r="AJ238" s="24">
        <f>IF(AN238=0,K238,0)</f>
        <v>0</v>
      </c>
      <c r="AK238" s="24">
        <f>IF(AN238=15,K238,0)</f>
        <v>0</v>
      </c>
      <c r="AL238" s="24">
        <f>IF(AN238=21,K238,0)</f>
        <v>0</v>
      </c>
      <c r="AN238" s="36">
        <v>21</v>
      </c>
      <c r="AO238" s="36">
        <f>H238*0.880407971829822</f>
        <v>0</v>
      </c>
      <c r="AP238" s="36">
        <f>H238*(1-0.880407971829822)</f>
        <v>0</v>
      </c>
      <c r="AQ238" s="37" t="s">
        <v>13</v>
      </c>
      <c r="AV238" s="36">
        <f>AW238+AX238</f>
        <v>0</v>
      </c>
      <c r="AW238" s="36">
        <f>G238*AO238</f>
        <v>0</v>
      </c>
      <c r="AX238" s="36">
        <f>G238*AP238</f>
        <v>0</v>
      </c>
      <c r="AY238" s="39" t="s">
        <v>702</v>
      </c>
      <c r="AZ238" s="39" t="s">
        <v>726</v>
      </c>
      <c r="BA238" s="34" t="s">
        <v>735</v>
      </c>
      <c r="BC238" s="36">
        <f>AW238+AX238</f>
        <v>0</v>
      </c>
      <c r="BD238" s="36">
        <f>H238/(100-BE238)*100</f>
        <v>0</v>
      </c>
      <c r="BE238" s="36">
        <v>0</v>
      </c>
      <c r="BF238" s="36">
        <f>O238</f>
        <v>0.12597</v>
      </c>
      <c r="BH238" s="24">
        <f>G238*AO238</f>
        <v>0</v>
      </c>
      <c r="BI238" s="24">
        <f>G238*AP238</f>
        <v>0</v>
      </c>
      <c r="BJ238" s="24">
        <f>G238*H238</f>
        <v>0</v>
      </c>
      <c r="BK238" s="24" t="s">
        <v>740</v>
      </c>
      <c r="BL238" s="36">
        <v>721</v>
      </c>
    </row>
    <row r="239" spans="1:16" ht="12.75">
      <c r="A239" s="6"/>
      <c r="B239" s="15" t="s">
        <v>151</v>
      </c>
      <c r="C239" s="168" t="s">
        <v>432</v>
      </c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70"/>
      <c r="P239" s="6"/>
    </row>
    <row r="240" spans="1:16" ht="12.75">
      <c r="A240" s="91"/>
      <c r="B240" s="94"/>
      <c r="C240" s="93" t="s">
        <v>9</v>
      </c>
      <c r="E240" s="95" t="s">
        <v>621</v>
      </c>
      <c r="F240" s="94"/>
      <c r="G240" s="97">
        <v>3</v>
      </c>
      <c r="H240" s="94"/>
      <c r="I240" s="94"/>
      <c r="J240" s="94"/>
      <c r="K240" s="94"/>
      <c r="L240" s="94"/>
      <c r="M240" s="90"/>
      <c r="N240" s="99"/>
      <c r="O240" s="87"/>
      <c r="P240" s="85"/>
    </row>
    <row r="241" spans="1:16" ht="51" customHeight="1">
      <c r="A241" s="6"/>
      <c r="B241" s="16" t="s">
        <v>137</v>
      </c>
      <c r="C241" s="165" t="s">
        <v>433</v>
      </c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7"/>
      <c r="P241" s="6"/>
    </row>
    <row r="242" spans="1:64" ht="12.75">
      <c r="A242" s="80" t="s">
        <v>69</v>
      </c>
      <c r="B242" s="80" t="s">
        <v>202</v>
      </c>
      <c r="C242" s="162" t="s">
        <v>434</v>
      </c>
      <c r="D242" s="157"/>
      <c r="E242" s="164"/>
      <c r="F242" s="80" t="s">
        <v>653</v>
      </c>
      <c r="G242" s="83">
        <v>0</v>
      </c>
      <c r="H242" s="83">
        <v>0</v>
      </c>
      <c r="I242" s="83">
        <f>G242*AO242</f>
        <v>0</v>
      </c>
      <c r="J242" s="83">
        <f>G242*AP242</f>
        <v>0</v>
      </c>
      <c r="K242" s="83">
        <f>G242*H242</f>
        <v>0</v>
      </c>
      <c r="L242" s="83">
        <v>0</v>
      </c>
      <c r="M242" s="82">
        <v>0</v>
      </c>
      <c r="N242" s="84">
        <v>0</v>
      </c>
      <c r="O242" s="82">
        <f>G242*N242</f>
        <v>0</v>
      </c>
      <c r="P242" s="85"/>
      <c r="Z242" s="36">
        <f>IF(AQ242="5",BJ242,0)</f>
        <v>0</v>
      </c>
      <c r="AB242" s="36">
        <f>IF(AQ242="1",BH242,0)</f>
        <v>0</v>
      </c>
      <c r="AC242" s="36">
        <f>IF(AQ242="1",BI242,0)</f>
        <v>0</v>
      </c>
      <c r="AD242" s="36">
        <f>IF(AQ242="7",BH242,0)</f>
        <v>0</v>
      </c>
      <c r="AE242" s="36">
        <f>IF(AQ242="7",BI242,0)</f>
        <v>0</v>
      </c>
      <c r="AF242" s="36">
        <f>IF(AQ242="2",BH242,0)</f>
        <v>0</v>
      </c>
      <c r="AG242" s="36">
        <f>IF(AQ242="2",BI242,0)</f>
        <v>0</v>
      </c>
      <c r="AH242" s="36">
        <f>IF(AQ242="0",BJ242,0)</f>
        <v>0</v>
      </c>
      <c r="AI242" s="34" t="s">
        <v>691</v>
      </c>
      <c r="AJ242" s="24">
        <f>IF(AN242=0,K242,0)</f>
        <v>0</v>
      </c>
      <c r="AK242" s="24">
        <f>IF(AN242=15,K242,0)</f>
        <v>0</v>
      </c>
      <c r="AL242" s="24">
        <f>IF(AN242=21,K242,0)</f>
        <v>0</v>
      </c>
      <c r="AN242" s="36">
        <v>21</v>
      </c>
      <c r="AO242" s="36">
        <f>H242*0</f>
        <v>0</v>
      </c>
      <c r="AP242" s="36">
        <f>H242*(1-0)</f>
        <v>0</v>
      </c>
      <c r="AQ242" s="37" t="s">
        <v>13</v>
      </c>
      <c r="AV242" s="36">
        <f>AW242+AX242</f>
        <v>0</v>
      </c>
      <c r="AW242" s="36">
        <f>G242*AO242</f>
        <v>0</v>
      </c>
      <c r="AX242" s="36">
        <f>G242*AP242</f>
        <v>0</v>
      </c>
      <c r="AY242" s="39" t="s">
        <v>702</v>
      </c>
      <c r="AZ242" s="39" t="s">
        <v>726</v>
      </c>
      <c r="BA242" s="34" t="s">
        <v>735</v>
      </c>
      <c r="BC242" s="36">
        <f>AW242+AX242</f>
        <v>0</v>
      </c>
      <c r="BD242" s="36">
        <f>H242/(100-BE242)*100</f>
        <v>0</v>
      </c>
      <c r="BE242" s="36">
        <v>0</v>
      </c>
      <c r="BF242" s="36">
        <f>O242</f>
        <v>0</v>
      </c>
      <c r="BH242" s="24">
        <f>G242*AO242</f>
        <v>0</v>
      </c>
      <c r="BI242" s="24">
        <f>G242*AP242</f>
        <v>0</v>
      </c>
      <c r="BJ242" s="24">
        <f>G242*H242</f>
        <v>0</v>
      </c>
      <c r="BK242" s="24" t="s">
        <v>740</v>
      </c>
      <c r="BL242" s="36">
        <v>721</v>
      </c>
    </row>
    <row r="243" spans="1:16" ht="12.75">
      <c r="A243" s="6"/>
      <c r="B243" s="16" t="s">
        <v>137</v>
      </c>
      <c r="C243" s="165" t="s">
        <v>435</v>
      </c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7"/>
      <c r="P243" s="6"/>
    </row>
    <row r="244" spans="1:64" ht="12.75">
      <c r="A244" s="80" t="s">
        <v>70</v>
      </c>
      <c r="B244" s="80" t="s">
        <v>203</v>
      </c>
      <c r="C244" s="162" t="s">
        <v>436</v>
      </c>
      <c r="D244" s="157"/>
      <c r="E244" s="164"/>
      <c r="F244" s="80" t="s">
        <v>656</v>
      </c>
      <c r="G244" s="83">
        <v>0.9</v>
      </c>
      <c r="H244" s="83">
        <v>0</v>
      </c>
      <c r="I244" s="83">
        <f>G244*AO244</f>
        <v>0</v>
      </c>
      <c r="J244" s="83">
        <f>G244*AP244</f>
        <v>0</v>
      </c>
      <c r="K244" s="83">
        <f>G244*H244</f>
        <v>0</v>
      </c>
      <c r="L244" s="83">
        <v>0</v>
      </c>
      <c r="M244" s="82">
        <v>0</v>
      </c>
      <c r="N244" s="84">
        <v>0</v>
      </c>
      <c r="O244" s="82">
        <f>G244*N244</f>
        <v>0</v>
      </c>
      <c r="P244" s="85"/>
      <c r="Z244" s="36">
        <f>IF(AQ244="5",BJ244,0)</f>
        <v>0</v>
      </c>
      <c r="AB244" s="36">
        <f>IF(AQ244="1",BH244,0)</f>
        <v>0</v>
      </c>
      <c r="AC244" s="36">
        <f>IF(AQ244="1",BI244,0)</f>
        <v>0</v>
      </c>
      <c r="AD244" s="36">
        <f>IF(AQ244="7",BH244,0)</f>
        <v>0</v>
      </c>
      <c r="AE244" s="36">
        <f>IF(AQ244="7",BI244,0)</f>
        <v>0</v>
      </c>
      <c r="AF244" s="36">
        <f>IF(AQ244="2",BH244,0)</f>
        <v>0</v>
      </c>
      <c r="AG244" s="36">
        <f>IF(AQ244="2",BI244,0)</f>
        <v>0</v>
      </c>
      <c r="AH244" s="36">
        <f>IF(AQ244="0",BJ244,0)</f>
        <v>0</v>
      </c>
      <c r="AI244" s="34" t="s">
        <v>691</v>
      </c>
      <c r="AJ244" s="24">
        <f>IF(AN244=0,K244,0)</f>
        <v>0</v>
      </c>
      <c r="AK244" s="24">
        <f>IF(AN244=15,K244,0)</f>
        <v>0</v>
      </c>
      <c r="AL244" s="24">
        <f>IF(AN244=21,K244,0)</f>
        <v>0</v>
      </c>
      <c r="AN244" s="36">
        <v>21</v>
      </c>
      <c r="AO244" s="36">
        <f>H244*0</f>
        <v>0</v>
      </c>
      <c r="AP244" s="36">
        <f>H244*(1-0)</f>
        <v>0</v>
      </c>
      <c r="AQ244" s="37" t="s">
        <v>11</v>
      </c>
      <c r="AV244" s="36">
        <f>AW244+AX244</f>
        <v>0</v>
      </c>
      <c r="AW244" s="36">
        <f>G244*AO244</f>
        <v>0</v>
      </c>
      <c r="AX244" s="36">
        <f>G244*AP244</f>
        <v>0</v>
      </c>
      <c r="AY244" s="39" t="s">
        <v>702</v>
      </c>
      <c r="AZ244" s="39" t="s">
        <v>726</v>
      </c>
      <c r="BA244" s="34" t="s">
        <v>735</v>
      </c>
      <c r="BC244" s="36">
        <f>AW244+AX244</f>
        <v>0</v>
      </c>
      <c r="BD244" s="36">
        <f>H244/(100-BE244)*100</f>
        <v>0</v>
      </c>
      <c r="BE244" s="36">
        <v>0</v>
      </c>
      <c r="BF244" s="36">
        <f>O244</f>
        <v>0</v>
      </c>
      <c r="BH244" s="24">
        <f>G244*AO244</f>
        <v>0</v>
      </c>
      <c r="BI244" s="24">
        <f>G244*AP244</f>
        <v>0</v>
      </c>
      <c r="BJ244" s="24">
        <f>G244*H244</f>
        <v>0</v>
      </c>
      <c r="BK244" s="24" t="s">
        <v>740</v>
      </c>
      <c r="BL244" s="36">
        <v>721</v>
      </c>
    </row>
    <row r="245" spans="1:47" ht="12.75">
      <c r="A245" s="4"/>
      <c r="B245" s="13" t="s">
        <v>67</v>
      </c>
      <c r="C245" s="160" t="s">
        <v>437</v>
      </c>
      <c r="D245" s="161"/>
      <c r="E245" s="161"/>
      <c r="F245" s="22" t="s">
        <v>6</v>
      </c>
      <c r="G245" s="22" t="s">
        <v>6</v>
      </c>
      <c r="H245" s="22" t="s">
        <v>6</v>
      </c>
      <c r="I245" s="43">
        <f>SUM(I246:I278)</f>
        <v>0</v>
      </c>
      <c r="J245" s="43">
        <f>SUM(J246:J278)</f>
        <v>0</v>
      </c>
      <c r="K245" s="43">
        <f>SUM(K246:K278)</f>
        <v>0</v>
      </c>
      <c r="L245" s="34"/>
      <c r="M245" s="34"/>
      <c r="N245" s="34"/>
      <c r="O245" s="46">
        <f>SUM(O246:O278)</f>
        <v>11.1414746736</v>
      </c>
      <c r="P245" s="6"/>
      <c r="AI245" s="34" t="s">
        <v>691</v>
      </c>
      <c r="AS245" s="43">
        <f>SUM(AJ246:AJ278)</f>
        <v>0</v>
      </c>
      <c r="AT245" s="43">
        <f>SUM(AK246:AK278)</f>
        <v>0</v>
      </c>
      <c r="AU245" s="43">
        <f>SUM(AL246:AL278)</f>
        <v>0</v>
      </c>
    </row>
    <row r="246" spans="1:64" ht="12.75">
      <c r="A246" s="88" t="s">
        <v>71</v>
      </c>
      <c r="B246" s="88" t="s">
        <v>204</v>
      </c>
      <c r="C246" s="156" t="s">
        <v>438</v>
      </c>
      <c r="D246" s="157"/>
      <c r="E246" s="158"/>
      <c r="F246" s="88" t="s">
        <v>653</v>
      </c>
      <c r="G246" s="96">
        <v>131.50938</v>
      </c>
      <c r="H246" s="96">
        <v>0</v>
      </c>
      <c r="I246" s="96">
        <f>G246*AO246</f>
        <v>0</v>
      </c>
      <c r="J246" s="96">
        <f>G246*AP246</f>
        <v>0</v>
      </c>
      <c r="K246" s="96">
        <f>G246*H246</f>
        <v>0</v>
      </c>
      <c r="L246" s="96">
        <v>0</v>
      </c>
      <c r="M246" s="81">
        <v>0.046</v>
      </c>
      <c r="N246" s="98">
        <v>0.046</v>
      </c>
      <c r="O246" s="81">
        <f>G246*N246</f>
        <v>6.04943148</v>
      </c>
      <c r="P246" s="85"/>
      <c r="Z246" s="36">
        <f>IF(AQ246="5",BJ246,0)</f>
        <v>0</v>
      </c>
      <c r="AB246" s="36">
        <f>IF(AQ246="1",BH246,0)</f>
        <v>0</v>
      </c>
      <c r="AC246" s="36">
        <f>IF(AQ246="1",BI246,0)</f>
        <v>0</v>
      </c>
      <c r="AD246" s="36">
        <f>IF(AQ246="7",BH246,0)</f>
        <v>0</v>
      </c>
      <c r="AE246" s="36">
        <f>IF(AQ246="7",BI246,0)</f>
        <v>0</v>
      </c>
      <c r="AF246" s="36">
        <f>IF(AQ246="2",BH246,0)</f>
        <v>0</v>
      </c>
      <c r="AG246" s="36">
        <f>IF(AQ246="2",BI246,0)</f>
        <v>0</v>
      </c>
      <c r="AH246" s="36">
        <f>IF(AQ246="0",BJ246,0)</f>
        <v>0</v>
      </c>
      <c r="AI246" s="34" t="s">
        <v>691</v>
      </c>
      <c r="AJ246" s="24">
        <f>IF(AN246=0,K246,0)</f>
        <v>0</v>
      </c>
      <c r="AK246" s="24">
        <f>IF(AN246=15,K246,0)</f>
        <v>0</v>
      </c>
      <c r="AL246" s="24">
        <f>IF(AN246=21,K246,0)</f>
        <v>0</v>
      </c>
      <c r="AN246" s="36">
        <v>21</v>
      </c>
      <c r="AO246" s="36">
        <f>H246*0</f>
        <v>0</v>
      </c>
      <c r="AP246" s="36">
        <f>H246*(1-0)</f>
        <v>0</v>
      </c>
      <c r="AQ246" s="37" t="s">
        <v>7</v>
      </c>
      <c r="AV246" s="36">
        <f>AW246+AX246</f>
        <v>0</v>
      </c>
      <c r="AW246" s="36">
        <f>G246*AO246</f>
        <v>0</v>
      </c>
      <c r="AX246" s="36">
        <f>G246*AP246</f>
        <v>0</v>
      </c>
      <c r="AY246" s="39" t="s">
        <v>703</v>
      </c>
      <c r="AZ246" s="39" t="s">
        <v>724</v>
      </c>
      <c r="BA246" s="34" t="s">
        <v>735</v>
      </c>
      <c r="BC246" s="36">
        <f>AW246+AX246</f>
        <v>0</v>
      </c>
      <c r="BD246" s="36">
        <f>H246/(100-BE246)*100</f>
        <v>0</v>
      </c>
      <c r="BE246" s="36">
        <v>0</v>
      </c>
      <c r="BF246" s="36">
        <f>O246</f>
        <v>6.04943148</v>
      </c>
      <c r="BH246" s="24">
        <f>G246*AO246</f>
        <v>0</v>
      </c>
      <c r="BI246" s="24">
        <f>G246*AP246</f>
        <v>0</v>
      </c>
      <c r="BJ246" s="24">
        <f>G246*H246</f>
        <v>0</v>
      </c>
      <c r="BK246" s="24" t="s">
        <v>740</v>
      </c>
      <c r="BL246" s="36">
        <v>61</v>
      </c>
    </row>
    <row r="247" spans="1:16" ht="12.75">
      <c r="A247" s="100"/>
      <c r="B247" s="101"/>
      <c r="C247" s="92" t="s">
        <v>439</v>
      </c>
      <c r="E247" s="102" t="s">
        <v>622</v>
      </c>
      <c r="F247" s="101"/>
      <c r="G247" s="103">
        <v>89.18438</v>
      </c>
      <c r="H247" s="101"/>
      <c r="I247" s="101"/>
      <c r="J247" s="101"/>
      <c r="K247" s="101"/>
      <c r="L247" s="101"/>
      <c r="M247" s="89"/>
      <c r="N247" s="104"/>
      <c r="O247" s="86"/>
      <c r="P247" s="85"/>
    </row>
    <row r="248" spans="1:16" ht="12.75">
      <c r="A248" s="100"/>
      <c r="B248" s="101"/>
      <c r="C248" s="92" t="s">
        <v>440</v>
      </c>
      <c r="E248" s="102" t="s">
        <v>623</v>
      </c>
      <c r="F248" s="101"/>
      <c r="G248" s="103">
        <v>5.8</v>
      </c>
      <c r="H248" s="101"/>
      <c r="I248" s="101"/>
      <c r="J248" s="101"/>
      <c r="K248" s="101"/>
      <c r="L248" s="101"/>
      <c r="M248" s="89"/>
      <c r="N248" s="104"/>
      <c r="O248" s="86"/>
      <c r="P248" s="85"/>
    </row>
    <row r="249" spans="1:16" ht="12.75">
      <c r="A249" s="100"/>
      <c r="B249" s="101"/>
      <c r="C249" s="92" t="s">
        <v>441</v>
      </c>
      <c r="E249" s="102" t="s">
        <v>624</v>
      </c>
      <c r="F249" s="101"/>
      <c r="G249" s="103">
        <v>9.525</v>
      </c>
      <c r="H249" s="101"/>
      <c r="I249" s="101"/>
      <c r="J249" s="101"/>
      <c r="K249" s="101"/>
      <c r="L249" s="101"/>
      <c r="M249" s="89"/>
      <c r="N249" s="104"/>
      <c r="O249" s="86"/>
      <c r="P249" s="85"/>
    </row>
    <row r="250" spans="1:16" ht="12.75">
      <c r="A250" s="100"/>
      <c r="B250" s="101"/>
      <c r="C250" s="92" t="s">
        <v>442</v>
      </c>
      <c r="E250" s="102" t="s">
        <v>625</v>
      </c>
      <c r="F250" s="101"/>
      <c r="G250" s="103">
        <v>27</v>
      </c>
      <c r="H250" s="101"/>
      <c r="I250" s="101"/>
      <c r="J250" s="101"/>
      <c r="K250" s="101"/>
      <c r="L250" s="101"/>
      <c r="M250" s="89"/>
      <c r="N250" s="104"/>
      <c r="O250" s="86"/>
      <c r="P250" s="85"/>
    </row>
    <row r="251" spans="1:64" ht="12.75">
      <c r="A251" s="88" t="s">
        <v>72</v>
      </c>
      <c r="B251" s="88" t="s">
        <v>176</v>
      </c>
      <c r="C251" s="156" t="s">
        <v>370</v>
      </c>
      <c r="D251" s="157"/>
      <c r="E251" s="158"/>
      <c r="F251" s="88" t="s">
        <v>653</v>
      </c>
      <c r="G251" s="96">
        <v>131.50938</v>
      </c>
      <c r="H251" s="96">
        <v>0</v>
      </c>
      <c r="I251" s="96">
        <f>G251*AO251</f>
        <v>0</v>
      </c>
      <c r="J251" s="96">
        <f>G251*AP251</f>
        <v>0</v>
      </c>
      <c r="K251" s="96">
        <f>G251*H251</f>
        <v>0</v>
      </c>
      <c r="L251" s="96">
        <v>0.0005</v>
      </c>
      <c r="M251" s="81">
        <v>0</v>
      </c>
      <c r="N251" s="98">
        <v>0.0005</v>
      </c>
      <c r="O251" s="81">
        <f>G251*N251</f>
        <v>0.06575469</v>
      </c>
      <c r="P251" s="85"/>
      <c r="Z251" s="36">
        <f>IF(AQ251="5",BJ251,0)</f>
        <v>0</v>
      </c>
      <c r="AB251" s="36">
        <f>IF(AQ251="1",BH251,0)</f>
        <v>0</v>
      </c>
      <c r="AC251" s="36">
        <f>IF(AQ251="1",BI251,0)</f>
        <v>0</v>
      </c>
      <c r="AD251" s="36">
        <f>IF(AQ251="7",BH251,0)</f>
        <v>0</v>
      </c>
      <c r="AE251" s="36">
        <f>IF(AQ251="7",BI251,0)</f>
        <v>0</v>
      </c>
      <c r="AF251" s="36">
        <f>IF(AQ251="2",BH251,0)</f>
        <v>0</v>
      </c>
      <c r="AG251" s="36">
        <f>IF(AQ251="2",BI251,0)</f>
        <v>0</v>
      </c>
      <c r="AH251" s="36">
        <f>IF(AQ251="0",BJ251,0)</f>
        <v>0</v>
      </c>
      <c r="AI251" s="34" t="s">
        <v>691</v>
      </c>
      <c r="AJ251" s="24">
        <f>IF(AN251=0,K251,0)</f>
        <v>0</v>
      </c>
      <c r="AK251" s="24">
        <f>IF(AN251=15,K251,0)</f>
        <v>0</v>
      </c>
      <c r="AL251" s="24">
        <f>IF(AN251=21,K251,0)</f>
        <v>0</v>
      </c>
      <c r="AN251" s="36">
        <v>21</v>
      </c>
      <c r="AO251" s="36">
        <f>H251*0.693409117272576</f>
        <v>0</v>
      </c>
      <c r="AP251" s="36">
        <f>H251*(1-0.693409117272576)</f>
        <v>0</v>
      </c>
      <c r="AQ251" s="37" t="s">
        <v>7</v>
      </c>
      <c r="AV251" s="36">
        <f>AW251+AX251</f>
        <v>0</v>
      </c>
      <c r="AW251" s="36">
        <f>G251*AO251</f>
        <v>0</v>
      </c>
      <c r="AX251" s="36">
        <f>G251*AP251</f>
        <v>0</v>
      </c>
      <c r="AY251" s="39" t="s">
        <v>703</v>
      </c>
      <c r="AZ251" s="39" t="s">
        <v>724</v>
      </c>
      <c r="BA251" s="34" t="s">
        <v>735</v>
      </c>
      <c r="BC251" s="36">
        <f>AW251+AX251</f>
        <v>0</v>
      </c>
      <c r="BD251" s="36">
        <f>H251/(100-BE251)*100</f>
        <v>0</v>
      </c>
      <c r="BE251" s="36">
        <v>0</v>
      </c>
      <c r="BF251" s="36">
        <f>O251</f>
        <v>0.06575469</v>
      </c>
      <c r="BH251" s="24">
        <f>G251*AO251</f>
        <v>0</v>
      </c>
      <c r="BI251" s="24">
        <f>G251*AP251</f>
        <v>0</v>
      </c>
      <c r="BJ251" s="24">
        <f>G251*H251</f>
        <v>0</v>
      </c>
      <c r="BK251" s="24" t="s">
        <v>740</v>
      </c>
      <c r="BL251" s="36">
        <v>61</v>
      </c>
    </row>
    <row r="252" spans="1:16" ht="12.75">
      <c r="A252" s="100"/>
      <c r="B252" s="101"/>
      <c r="C252" s="92" t="s">
        <v>439</v>
      </c>
      <c r="E252" s="102" t="s">
        <v>622</v>
      </c>
      <c r="F252" s="101"/>
      <c r="G252" s="103">
        <v>89.18438</v>
      </c>
      <c r="H252" s="101"/>
      <c r="I252" s="101"/>
      <c r="J252" s="101"/>
      <c r="K252" s="101"/>
      <c r="L252" s="101"/>
      <c r="M252" s="89"/>
      <c r="N252" s="104"/>
      <c r="O252" s="86"/>
      <c r="P252" s="85"/>
    </row>
    <row r="253" spans="1:16" ht="12.75">
      <c r="A253" s="100"/>
      <c r="B253" s="101"/>
      <c r="C253" s="92" t="s">
        <v>440</v>
      </c>
      <c r="E253" s="102" t="s">
        <v>623</v>
      </c>
      <c r="F253" s="101"/>
      <c r="G253" s="103">
        <v>5.8</v>
      </c>
      <c r="H253" s="101"/>
      <c r="I253" s="101"/>
      <c r="J253" s="101"/>
      <c r="K253" s="101"/>
      <c r="L253" s="101"/>
      <c r="M253" s="89"/>
      <c r="N253" s="104"/>
      <c r="O253" s="86"/>
      <c r="P253" s="85"/>
    </row>
    <row r="254" spans="1:16" ht="12.75">
      <c r="A254" s="100"/>
      <c r="B254" s="101"/>
      <c r="C254" s="92" t="s">
        <v>441</v>
      </c>
      <c r="E254" s="102" t="s">
        <v>624</v>
      </c>
      <c r="F254" s="101"/>
      <c r="G254" s="103">
        <v>9.525</v>
      </c>
      <c r="H254" s="101"/>
      <c r="I254" s="101"/>
      <c r="J254" s="101"/>
      <c r="K254" s="101"/>
      <c r="L254" s="101"/>
      <c r="M254" s="89"/>
      <c r="N254" s="104"/>
      <c r="O254" s="86"/>
      <c r="P254" s="85"/>
    </row>
    <row r="255" spans="1:16" ht="12.75">
      <c r="A255" s="91"/>
      <c r="B255" s="94"/>
      <c r="C255" s="93" t="s">
        <v>442</v>
      </c>
      <c r="E255" s="95" t="s">
        <v>625</v>
      </c>
      <c r="F255" s="94"/>
      <c r="G255" s="97">
        <v>27</v>
      </c>
      <c r="H255" s="94"/>
      <c r="I255" s="94"/>
      <c r="J255" s="94"/>
      <c r="K255" s="94"/>
      <c r="L255" s="94"/>
      <c r="M255" s="90"/>
      <c r="N255" s="99"/>
      <c r="O255" s="87"/>
      <c r="P255" s="85"/>
    </row>
    <row r="256" spans="1:16" ht="25.5" customHeight="1">
      <c r="A256" s="6"/>
      <c r="B256" s="16" t="s">
        <v>137</v>
      </c>
      <c r="C256" s="165" t="s">
        <v>443</v>
      </c>
      <c r="D256" s="166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7"/>
      <c r="P256" s="6"/>
    </row>
    <row r="257" spans="1:64" ht="12.75">
      <c r="A257" s="80" t="s">
        <v>73</v>
      </c>
      <c r="B257" s="80" t="s">
        <v>177</v>
      </c>
      <c r="C257" s="162" t="s">
        <v>372</v>
      </c>
      <c r="D257" s="157"/>
      <c r="E257" s="164"/>
      <c r="F257" s="80" t="s">
        <v>653</v>
      </c>
      <c r="G257" s="83">
        <v>131.50938</v>
      </c>
      <c r="H257" s="83">
        <v>0</v>
      </c>
      <c r="I257" s="83">
        <f>G257*AO257</f>
        <v>0</v>
      </c>
      <c r="J257" s="83">
        <f>G257*AP257</f>
        <v>0</v>
      </c>
      <c r="K257" s="83">
        <f>G257*H257</f>
        <v>0</v>
      </c>
      <c r="L257" s="83">
        <v>0.00672</v>
      </c>
      <c r="M257" s="82">
        <v>0</v>
      </c>
      <c r="N257" s="84">
        <v>0.00672</v>
      </c>
      <c r="O257" s="82">
        <f>G257*N257</f>
        <v>0.8837430336</v>
      </c>
      <c r="P257" s="85"/>
      <c r="Z257" s="36">
        <f>IF(AQ257="5",BJ257,0)</f>
        <v>0</v>
      </c>
      <c r="AB257" s="36">
        <f>IF(AQ257="1",BH257,0)</f>
        <v>0</v>
      </c>
      <c r="AC257" s="36">
        <f>IF(AQ257="1",BI257,0)</f>
        <v>0</v>
      </c>
      <c r="AD257" s="36">
        <f>IF(AQ257="7",BH257,0)</f>
        <v>0</v>
      </c>
      <c r="AE257" s="36">
        <f>IF(AQ257="7",BI257,0)</f>
        <v>0</v>
      </c>
      <c r="AF257" s="36">
        <f>IF(AQ257="2",BH257,0)</f>
        <v>0</v>
      </c>
      <c r="AG257" s="36">
        <f>IF(AQ257="2",BI257,0)</f>
        <v>0</v>
      </c>
      <c r="AH257" s="36">
        <f>IF(AQ257="0",BJ257,0)</f>
        <v>0</v>
      </c>
      <c r="AI257" s="34" t="s">
        <v>691</v>
      </c>
      <c r="AJ257" s="24">
        <f>IF(AN257=0,K257,0)</f>
        <v>0</v>
      </c>
      <c r="AK257" s="24">
        <f>IF(AN257=15,K257,0)</f>
        <v>0</v>
      </c>
      <c r="AL257" s="24">
        <f>IF(AN257=21,K257,0)</f>
        <v>0</v>
      </c>
      <c r="AN257" s="36">
        <v>21</v>
      </c>
      <c r="AO257" s="36">
        <f>H257*0.452247468318954</f>
        <v>0</v>
      </c>
      <c r="AP257" s="36">
        <f>H257*(1-0.452247468318954)</f>
        <v>0</v>
      </c>
      <c r="AQ257" s="37" t="s">
        <v>7</v>
      </c>
      <c r="AV257" s="36">
        <f>AW257+AX257</f>
        <v>0</v>
      </c>
      <c r="AW257" s="36">
        <f>G257*AO257</f>
        <v>0</v>
      </c>
      <c r="AX257" s="36">
        <f>G257*AP257</f>
        <v>0</v>
      </c>
      <c r="AY257" s="39" t="s">
        <v>703</v>
      </c>
      <c r="AZ257" s="39" t="s">
        <v>724</v>
      </c>
      <c r="BA257" s="34" t="s">
        <v>735</v>
      </c>
      <c r="BC257" s="36">
        <f>AW257+AX257</f>
        <v>0</v>
      </c>
      <c r="BD257" s="36">
        <f>H257/(100-BE257)*100</f>
        <v>0</v>
      </c>
      <c r="BE257" s="36">
        <v>0</v>
      </c>
      <c r="BF257" s="36">
        <f>O257</f>
        <v>0.8837430336</v>
      </c>
      <c r="BH257" s="24">
        <f>G257*AO257</f>
        <v>0</v>
      </c>
      <c r="BI257" s="24">
        <f>G257*AP257</f>
        <v>0</v>
      </c>
      <c r="BJ257" s="24">
        <f>G257*H257</f>
        <v>0</v>
      </c>
      <c r="BK257" s="24" t="s">
        <v>740</v>
      </c>
      <c r="BL257" s="36">
        <v>61</v>
      </c>
    </row>
    <row r="258" spans="1:16" ht="12.75">
      <c r="A258" s="6"/>
      <c r="B258" s="15" t="s">
        <v>151</v>
      </c>
      <c r="C258" s="168" t="s">
        <v>373</v>
      </c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70"/>
      <c r="P258" s="6"/>
    </row>
    <row r="259" spans="1:16" ht="12.75">
      <c r="A259" s="100"/>
      <c r="B259" s="101"/>
      <c r="C259" s="92" t="s">
        <v>439</v>
      </c>
      <c r="E259" s="102" t="s">
        <v>622</v>
      </c>
      <c r="F259" s="101"/>
      <c r="G259" s="103">
        <v>89.18438</v>
      </c>
      <c r="H259" s="101"/>
      <c r="I259" s="101"/>
      <c r="J259" s="101"/>
      <c r="K259" s="101"/>
      <c r="L259" s="101"/>
      <c r="M259" s="89"/>
      <c r="N259" s="104"/>
      <c r="O259" s="86"/>
      <c r="P259" s="85"/>
    </row>
    <row r="260" spans="1:16" ht="12.75">
      <c r="A260" s="100"/>
      <c r="B260" s="101"/>
      <c r="C260" s="92" t="s">
        <v>440</v>
      </c>
      <c r="E260" s="102" t="s">
        <v>623</v>
      </c>
      <c r="F260" s="101"/>
      <c r="G260" s="103">
        <v>5.8</v>
      </c>
      <c r="H260" s="101"/>
      <c r="I260" s="101"/>
      <c r="J260" s="101"/>
      <c r="K260" s="101"/>
      <c r="L260" s="101"/>
      <c r="M260" s="89"/>
      <c r="N260" s="104"/>
      <c r="O260" s="86"/>
      <c r="P260" s="85"/>
    </row>
    <row r="261" spans="1:16" ht="12.75">
      <c r="A261" s="100"/>
      <c r="B261" s="101"/>
      <c r="C261" s="92" t="s">
        <v>441</v>
      </c>
      <c r="E261" s="102" t="s">
        <v>624</v>
      </c>
      <c r="F261" s="101"/>
      <c r="G261" s="103">
        <v>9.525</v>
      </c>
      <c r="H261" s="101"/>
      <c r="I261" s="101"/>
      <c r="J261" s="101"/>
      <c r="K261" s="101"/>
      <c r="L261" s="101"/>
      <c r="M261" s="89"/>
      <c r="N261" s="104"/>
      <c r="O261" s="86"/>
      <c r="P261" s="85"/>
    </row>
    <row r="262" spans="1:16" ht="12.75">
      <c r="A262" s="91"/>
      <c r="B262" s="94"/>
      <c r="C262" s="93" t="s">
        <v>442</v>
      </c>
      <c r="E262" s="95" t="s">
        <v>625</v>
      </c>
      <c r="F262" s="94"/>
      <c r="G262" s="97">
        <v>27</v>
      </c>
      <c r="H262" s="94"/>
      <c r="I262" s="94"/>
      <c r="J262" s="94"/>
      <c r="K262" s="94"/>
      <c r="L262" s="94"/>
      <c r="M262" s="90"/>
      <c r="N262" s="99"/>
      <c r="O262" s="87"/>
      <c r="P262" s="85"/>
    </row>
    <row r="263" spans="1:16" ht="25.5" customHeight="1">
      <c r="A263" s="6"/>
      <c r="B263" s="16" t="s">
        <v>137</v>
      </c>
      <c r="C263" s="165" t="s">
        <v>444</v>
      </c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7"/>
      <c r="P263" s="6"/>
    </row>
    <row r="264" spans="1:64" ht="12.75">
      <c r="A264" s="80" t="s">
        <v>74</v>
      </c>
      <c r="B264" s="80" t="s">
        <v>178</v>
      </c>
      <c r="C264" s="162" t="s">
        <v>378</v>
      </c>
      <c r="D264" s="157"/>
      <c r="E264" s="164"/>
      <c r="F264" s="80" t="s">
        <v>653</v>
      </c>
      <c r="G264" s="83">
        <v>131.50938</v>
      </c>
      <c r="H264" s="83">
        <v>0</v>
      </c>
      <c r="I264" s="83">
        <f>G264*AO264</f>
        <v>0</v>
      </c>
      <c r="J264" s="83">
        <f>G264*AP264</f>
        <v>0</v>
      </c>
      <c r="K264" s="83">
        <f>G264*H264</f>
        <v>0</v>
      </c>
      <c r="L264" s="83">
        <v>0.021</v>
      </c>
      <c r="M264" s="82">
        <v>0</v>
      </c>
      <c r="N264" s="84">
        <v>0.021</v>
      </c>
      <c r="O264" s="82">
        <f>G264*N264</f>
        <v>2.76169698</v>
      </c>
      <c r="P264" s="85"/>
      <c r="Z264" s="36">
        <f>IF(AQ264="5",BJ264,0)</f>
        <v>0</v>
      </c>
      <c r="AB264" s="36">
        <f>IF(AQ264="1",BH264,0)</f>
        <v>0</v>
      </c>
      <c r="AC264" s="36">
        <f>IF(AQ264="1",BI264,0)</f>
        <v>0</v>
      </c>
      <c r="AD264" s="36">
        <f>IF(AQ264="7",BH264,0)</f>
        <v>0</v>
      </c>
      <c r="AE264" s="36">
        <f>IF(AQ264="7",BI264,0)</f>
        <v>0</v>
      </c>
      <c r="AF264" s="36">
        <f>IF(AQ264="2",BH264,0)</f>
        <v>0</v>
      </c>
      <c r="AG264" s="36">
        <f>IF(AQ264="2",BI264,0)</f>
        <v>0</v>
      </c>
      <c r="AH264" s="36">
        <f>IF(AQ264="0",BJ264,0)</f>
        <v>0</v>
      </c>
      <c r="AI264" s="34" t="s">
        <v>691</v>
      </c>
      <c r="AJ264" s="24">
        <f>IF(AN264=0,K264,0)</f>
        <v>0</v>
      </c>
      <c r="AK264" s="24">
        <f>IF(AN264=15,K264,0)</f>
        <v>0</v>
      </c>
      <c r="AL264" s="24">
        <f>IF(AN264=21,K264,0)</f>
        <v>0</v>
      </c>
      <c r="AN264" s="36">
        <v>21</v>
      </c>
      <c r="AO264" s="36">
        <f>H264*0.557153826600266</f>
        <v>0</v>
      </c>
      <c r="AP264" s="36">
        <f>H264*(1-0.557153826600266)</f>
        <v>0</v>
      </c>
      <c r="AQ264" s="37" t="s">
        <v>7</v>
      </c>
      <c r="AV264" s="36">
        <f>AW264+AX264</f>
        <v>0</v>
      </c>
      <c r="AW264" s="36">
        <f>G264*AO264</f>
        <v>0</v>
      </c>
      <c r="AX264" s="36">
        <f>G264*AP264</f>
        <v>0</v>
      </c>
      <c r="AY264" s="39" t="s">
        <v>703</v>
      </c>
      <c r="AZ264" s="39" t="s">
        <v>724</v>
      </c>
      <c r="BA264" s="34" t="s">
        <v>735</v>
      </c>
      <c r="BC264" s="36">
        <f>AW264+AX264</f>
        <v>0</v>
      </c>
      <c r="BD264" s="36">
        <f>H264/(100-BE264)*100</f>
        <v>0</v>
      </c>
      <c r="BE264" s="36">
        <v>0</v>
      </c>
      <c r="BF264" s="36">
        <f>O264</f>
        <v>2.76169698</v>
      </c>
      <c r="BH264" s="24">
        <f>G264*AO264</f>
        <v>0</v>
      </c>
      <c r="BI264" s="24">
        <f>G264*AP264</f>
        <v>0</v>
      </c>
      <c r="BJ264" s="24">
        <f>G264*H264</f>
        <v>0</v>
      </c>
      <c r="BK264" s="24" t="s">
        <v>740</v>
      </c>
      <c r="BL264" s="36">
        <v>61</v>
      </c>
    </row>
    <row r="265" spans="1:16" ht="12.75">
      <c r="A265" s="6"/>
      <c r="B265" s="15" t="s">
        <v>151</v>
      </c>
      <c r="C265" s="168" t="s">
        <v>376</v>
      </c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70"/>
      <c r="P265" s="6"/>
    </row>
    <row r="266" spans="1:16" ht="12.75">
      <c r="A266" s="100"/>
      <c r="B266" s="101"/>
      <c r="C266" s="92" t="s">
        <v>439</v>
      </c>
      <c r="E266" s="102" t="s">
        <v>622</v>
      </c>
      <c r="F266" s="101"/>
      <c r="G266" s="103">
        <v>89.18438</v>
      </c>
      <c r="H266" s="101"/>
      <c r="I266" s="101"/>
      <c r="J266" s="101"/>
      <c r="K266" s="101"/>
      <c r="L266" s="101"/>
      <c r="M266" s="89"/>
      <c r="N266" s="104"/>
      <c r="O266" s="86"/>
      <c r="P266" s="85"/>
    </row>
    <row r="267" spans="1:16" ht="12.75">
      <c r="A267" s="100"/>
      <c r="B267" s="101"/>
      <c r="C267" s="92" t="s">
        <v>440</v>
      </c>
      <c r="E267" s="102" t="s">
        <v>623</v>
      </c>
      <c r="F267" s="101"/>
      <c r="G267" s="103">
        <v>5.8</v>
      </c>
      <c r="H267" s="101"/>
      <c r="I267" s="101"/>
      <c r="J267" s="101"/>
      <c r="K267" s="101"/>
      <c r="L267" s="101"/>
      <c r="M267" s="89"/>
      <c r="N267" s="104"/>
      <c r="O267" s="86"/>
      <c r="P267" s="85"/>
    </row>
    <row r="268" spans="1:16" ht="12.75">
      <c r="A268" s="100"/>
      <c r="B268" s="101"/>
      <c r="C268" s="92" t="s">
        <v>441</v>
      </c>
      <c r="E268" s="102" t="s">
        <v>624</v>
      </c>
      <c r="F268" s="101"/>
      <c r="G268" s="103">
        <v>9.525</v>
      </c>
      <c r="H268" s="101"/>
      <c r="I268" s="101"/>
      <c r="J268" s="101"/>
      <c r="K268" s="101"/>
      <c r="L268" s="101"/>
      <c r="M268" s="89"/>
      <c r="N268" s="104"/>
      <c r="O268" s="86"/>
      <c r="P268" s="85"/>
    </row>
    <row r="269" spans="1:16" ht="12.75">
      <c r="A269" s="91"/>
      <c r="B269" s="94"/>
      <c r="C269" s="93" t="s">
        <v>442</v>
      </c>
      <c r="E269" s="95" t="s">
        <v>625</v>
      </c>
      <c r="F269" s="94"/>
      <c r="G269" s="97">
        <v>27</v>
      </c>
      <c r="H269" s="94"/>
      <c r="I269" s="94"/>
      <c r="J269" s="94"/>
      <c r="K269" s="94"/>
      <c r="L269" s="94"/>
      <c r="M269" s="90"/>
      <c r="N269" s="99"/>
      <c r="O269" s="87"/>
      <c r="P269" s="85"/>
    </row>
    <row r="270" spans="1:16" ht="25.5" customHeight="1">
      <c r="A270" s="6"/>
      <c r="B270" s="16" t="s">
        <v>137</v>
      </c>
      <c r="C270" s="165" t="s">
        <v>445</v>
      </c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7"/>
      <c r="P270" s="6"/>
    </row>
    <row r="271" spans="1:64" ht="12.75">
      <c r="A271" s="80" t="s">
        <v>75</v>
      </c>
      <c r="B271" s="80" t="s">
        <v>179</v>
      </c>
      <c r="C271" s="162" t="s">
        <v>375</v>
      </c>
      <c r="D271" s="157"/>
      <c r="E271" s="164"/>
      <c r="F271" s="80" t="s">
        <v>653</v>
      </c>
      <c r="G271" s="83">
        <v>131.50938</v>
      </c>
      <c r="H271" s="83">
        <v>0</v>
      </c>
      <c r="I271" s="83">
        <f>G271*AO271</f>
        <v>0</v>
      </c>
      <c r="J271" s="83">
        <f>G271*AP271</f>
        <v>0</v>
      </c>
      <c r="K271" s="83">
        <f>G271*H271</f>
        <v>0</v>
      </c>
      <c r="L271" s="83">
        <v>0.0105</v>
      </c>
      <c r="M271" s="82">
        <v>0</v>
      </c>
      <c r="N271" s="84">
        <v>0.0105</v>
      </c>
      <c r="O271" s="82">
        <f>G271*N271</f>
        <v>1.38084849</v>
      </c>
      <c r="P271" s="85"/>
      <c r="Z271" s="36">
        <f>IF(AQ271="5",BJ271,0)</f>
        <v>0</v>
      </c>
      <c r="AB271" s="36">
        <f>IF(AQ271="1",BH271,0)</f>
        <v>0</v>
      </c>
      <c r="AC271" s="36">
        <f>IF(AQ271="1",BI271,0)</f>
        <v>0</v>
      </c>
      <c r="AD271" s="36">
        <f>IF(AQ271="7",BH271,0)</f>
        <v>0</v>
      </c>
      <c r="AE271" s="36">
        <f>IF(AQ271="7",BI271,0)</f>
        <v>0</v>
      </c>
      <c r="AF271" s="36">
        <f>IF(AQ271="2",BH271,0)</f>
        <v>0</v>
      </c>
      <c r="AG271" s="36">
        <f>IF(AQ271="2",BI271,0)</f>
        <v>0</v>
      </c>
      <c r="AH271" s="36">
        <f>IF(AQ271="0",BJ271,0)</f>
        <v>0</v>
      </c>
      <c r="AI271" s="34" t="s">
        <v>691</v>
      </c>
      <c r="AJ271" s="24">
        <f>IF(AN271=0,K271,0)</f>
        <v>0</v>
      </c>
      <c r="AK271" s="24">
        <f>IF(AN271=15,K271,0)</f>
        <v>0</v>
      </c>
      <c r="AL271" s="24">
        <f>IF(AN271=21,K271,0)</f>
        <v>0</v>
      </c>
      <c r="AN271" s="36">
        <v>21</v>
      </c>
      <c r="AO271" s="36">
        <f>H271*0.442070028830465</f>
        <v>0</v>
      </c>
      <c r="AP271" s="36">
        <f>H271*(1-0.442070028830465)</f>
        <v>0</v>
      </c>
      <c r="AQ271" s="37" t="s">
        <v>7</v>
      </c>
      <c r="AV271" s="36">
        <f>AW271+AX271</f>
        <v>0</v>
      </c>
      <c r="AW271" s="36">
        <f>G271*AO271</f>
        <v>0</v>
      </c>
      <c r="AX271" s="36">
        <f>G271*AP271</f>
        <v>0</v>
      </c>
      <c r="AY271" s="39" t="s">
        <v>703</v>
      </c>
      <c r="AZ271" s="39" t="s">
        <v>724</v>
      </c>
      <c r="BA271" s="34" t="s">
        <v>735</v>
      </c>
      <c r="BC271" s="36">
        <f>AW271+AX271</f>
        <v>0</v>
      </c>
      <c r="BD271" s="36">
        <f>H271/(100-BE271)*100</f>
        <v>0</v>
      </c>
      <c r="BE271" s="36">
        <v>0</v>
      </c>
      <c r="BF271" s="36">
        <f>O271</f>
        <v>1.38084849</v>
      </c>
      <c r="BH271" s="24">
        <f>G271*AO271</f>
        <v>0</v>
      </c>
      <c r="BI271" s="24">
        <f>G271*AP271</f>
        <v>0</v>
      </c>
      <c r="BJ271" s="24">
        <f>G271*H271</f>
        <v>0</v>
      </c>
      <c r="BK271" s="24" t="s">
        <v>740</v>
      </c>
      <c r="BL271" s="36">
        <v>61</v>
      </c>
    </row>
    <row r="272" spans="1:16" ht="12.75">
      <c r="A272" s="6"/>
      <c r="B272" s="15" t="s">
        <v>151</v>
      </c>
      <c r="C272" s="168" t="s">
        <v>379</v>
      </c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70"/>
      <c r="P272" s="6"/>
    </row>
    <row r="273" spans="1:16" ht="12.75">
      <c r="A273" s="100"/>
      <c r="B273" s="101"/>
      <c r="C273" s="92" t="s">
        <v>439</v>
      </c>
      <c r="E273" s="102" t="s">
        <v>622</v>
      </c>
      <c r="F273" s="101"/>
      <c r="G273" s="103">
        <v>89.18438</v>
      </c>
      <c r="H273" s="101"/>
      <c r="I273" s="101"/>
      <c r="J273" s="101"/>
      <c r="K273" s="101"/>
      <c r="L273" s="101"/>
      <c r="M273" s="89"/>
      <c r="N273" s="104"/>
      <c r="O273" s="86"/>
      <c r="P273" s="85"/>
    </row>
    <row r="274" spans="1:16" ht="12.75">
      <c r="A274" s="100"/>
      <c r="B274" s="101"/>
      <c r="C274" s="92" t="s">
        <v>440</v>
      </c>
      <c r="E274" s="102" t="s">
        <v>623</v>
      </c>
      <c r="F274" s="101"/>
      <c r="G274" s="103">
        <v>5.8</v>
      </c>
      <c r="H274" s="101"/>
      <c r="I274" s="101"/>
      <c r="J274" s="101"/>
      <c r="K274" s="101"/>
      <c r="L274" s="101"/>
      <c r="M274" s="89"/>
      <c r="N274" s="104"/>
      <c r="O274" s="86"/>
      <c r="P274" s="85"/>
    </row>
    <row r="275" spans="1:16" ht="12.75">
      <c r="A275" s="100"/>
      <c r="B275" s="101"/>
      <c r="C275" s="92" t="s">
        <v>441</v>
      </c>
      <c r="E275" s="102" t="s">
        <v>624</v>
      </c>
      <c r="F275" s="101"/>
      <c r="G275" s="103">
        <v>9.525</v>
      </c>
      <c r="H275" s="101"/>
      <c r="I275" s="101"/>
      <c r="J275" s="101"/>
      <c r="K275" s="101"/>
      <c r="L275" s="101"/>
      <c r="M275" s="89"/>
      <c r="N275" s="104"/>
      <c r="O275" s="86"/>
      <c r="P275" s="85"/>
    </row>
    <row r="276" spans="1:16" ht="12.75">
      <c r="A276" s="91"/>
      <c r="B276" s="94"/>
      <c r="C276" s="93" t="s">
        <v>442</v>
      </c>
      <c r="E276" s="95" t="s">
        <v>625</v>
      </c>
      <c r="F276" s="94"/>
      <c r="G276" s="97">
        <v>27</v>
      </c>
      <c r="H276" s="94"/>
      <c r="I276" s="94"/>
      <c r="J276" s="94"/>
      <c r="K276" s="94"/>
      <c r="L276" s="94"/>
      <c r="M276" s="90"/>
      <c r="N276" s="99"/>
      <c r="O276" s="87"/>
      <c r="P276" s="85"/>
    </row>
    <row r="277" spans="1:16" ht="25.5" customHeight="1">
      <c r="A277" s="6"/>
      <c r="B277" s="16" t="s">
        <v>137</v>
      </c>
      <c r="C277" s="165" t="s">
        <v>446</v>
      </c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7"/>
      <c r="P277" s="6"/>
    </row>
    <row r="278" spans="1:64" ht="12.75">
      <c r="A278" s="88" t="s">
        <v>76</v>
      </c>
      <c r="B278" s="88" t="s">
        <v>180</v>
      </c>
      <c r="C278" s="156" t="s">
        <v>381</v>
      </c>
      <c r="D278" s="157"/>
      <c r="E278" s="158"/>
      <c r="F278" s="88" t="s">
        <v>653</v>
      </c>
      <c r="G278" s="96">
        <v>10</v>
      </c>
      <c r="H278" s="96">
        <v>0</v>
      </c>
      <c r="I278" s="96">
        <f>G278*AO278</f>
        <v>0</v>
      </c>
      <c r="J278" s="96">
        <f>G278*AP278</f>
        <v>0</v>
      </c>
      <c r="K278" s="96">
        <f>G278*H278</f>
        <v>0</v>
      </c>
      <c r="L278" s="96">
        <v>0</v>
      </c>
      <c r="M278" s="81">
        <v>0</v>
      </c>
      <c r="N278" s="98">
        <v>0</v>
      </c>
      <c r="O278" s="81">
        <f>G278*N278</f>
        <v>0</v>
      </c>
      <c r="P278" s="85"/>
      <c r="Z278" s="36">
        <f>IF(AQ278="5",BJ278,0)</f>
        <v>0</v>
      </c>
      <c r="AB278" s="36">
        <f>IF(AQ278="1",BH278,0)</f>
        <v>0</v>
      </c>
      <c r="AC278" s="36">
        <f>IF(AQ278="1",BI278,0)</f>
        <v>0</v>
      </c>
      <c r="AD278" s="36">
        <f>IF(AQ278="7",BH278,0)</f>
        <v>0</v>
      </c>
      <c r="AE278" s="36">
        <f>IF(AQ278="7",BI278,0)</f>
        <v>0</v>
      </c>
      <c r="AF278" s="36">
        <f>IF(AQ278="2",BH278,0)</f>
        <v>0</v>
      </c>
      <c r="AG278" s="36">
        <f>IF(AQ278="2",BI278,0)</f>
        <v>0</v>
      </c>
      <c r="AH278" s="36">
        <f>IF(AQ278="0",BJ278,0)</f>
        <v>0</v>
      </c>
      <c r="AI278" s="34" t="s">
        <v>691</v>
      </c>
      <c r="AJ278" s="24">
        <f>IF(AN278=0,K278,0)</f>
        <v>0</v>
      </c>
      <c r="AK278" s="24">
        <f>IF(AN278=15,K278,0)</f>
        <v>0</v>
      </c>
      <c r="AL278" s="24">
        <f>IF(AN278=21,K278,0)</f>
        <v>0</v>
      </c>
      <c r="AN278" s="36">
        <v>21</v>
      </c>
      <c r="AO278" s="36">
        <f>H278*0.00274306613837245</f>
        <v>0</v>
      </c>
      <c r="AP278" s="36">
        <f>H278*(1-0.00274306613837245)</f>
        <v>0</v>
      </c>
      <c r="AQ278" s="37" t="s">
        <v>7</v>
      </c>
      <c r="AV278" s="36">
        <f>AW278+AX278</f>
        <v>0</v>
      </c>
      <c r="AW278" s="36">
        <f>G278*AO278</f>
        <v>0</v>
      </c>
      <c r="AX278" s="36">
        <f>G278*AP278</f>
        <v>0</v>
      </c>
      <c r="AY278" s="39" t="s">
        <v>703</v>
      </c>
      <c r="AZ278" s="39" t="s">
        <v>724</v>
      </c>
      <c r="BA278" s="34" t="s">
        <v>735</v>
      </c>
      <c r="BC278" s="36">
        <f>AW278+AX278</f>
        <v>0</v>
      </c>
      <c r="BD278" s="36">
        <f>H278/(100-BE278)*100</f>
        <v>0</v>
      </c>
      <c r="BE278" s="36">
        <v>0</v>
      </c>
      <c r="BF278" s="36">
        <f>O278</f>
        <v>0</v>
      </c>
      <c r="BH278" s="24">
        <f>G278*AO278</f>
        <v>0</v>
      </c>
      <c r="BI278" s="24">
        <f>G278*AP278</f>
        <v>0</v>
      </c>
      <c r="BJ278" s="24">
        <f>G278*H278</f>
        <v>0</v>
      </c>
      <c r="BK278" s="24" t="s">
        <v>740</v>
      </c>
      <c r="BL278" s="36">
        <v>61</v>
      </c>
    </row>
    <row r="279" spans="1:16" ht="12.75">
      <c r="A279" s="91"/>
      <c r="B279" s="94"/>
      <c r="C279" s="93" t="s">
        <v>16</v>
      </c>
      <c r="E279" s="95"/>
      <c r="F279" s="94"/>
      <c r="G279" s="97">
        <v>10</v>
      </c>
      <c r="H279" s="94"/>
      <c r="I279" s="94"/>
      <c r="J279" s="94"/>
      <c r="K279" s="94"/>
      <c r="L279" s="94"/>
      <c r="M279" s="90"/>
      <c r="N279" s="99"/>
      <c r="O279" s="87"/>
      <c r="P279" s="85"/>
    </row>
    <row r="280" spans="1:47" ht="12.75">
      <c r="A280" s="4"/>
      <c r="B280" s="13" t="s">
        <v>69</v>
      </c>
      <c r="C280" s="160" t="s">
        <v>447</v>
      </c>
      <c r="D280" s="161"/>
      <c r="E280" s="161"/>
      <c r="F280" s="22" t="s">
        <v>6</v>
      </c>
      <c r="G280" s="22" t="s">
        <v>6</v>
      </c>
      <c r="H280" s="22" t="s">
        <v>6</v>
      </c>
      <c r="I280" s="43">
        <f>SUM(I281:I301)</f>
        <v>0</v>
      </c>
      <c r="J280" s="43">
        <f>SUM(J281:J301)</f>
        <v>0</v>
      </c>
      <c r="K280" s="43">
        <f>SUM(K281:K301)</f>
        <v>0</v>
      </c>
      <c r="L280" s="34"/>
      <c r="M280" s="34"/>
      <c r="N280" s="34"/>
      <c r="O280" s="46">
        <f>SUM(O281:O301)</f>
        <v>0.0064875</v>
      </c>
      <c r="P280" s="6"/>
      <c r="AI280" s="34" t="s">
        <v>691</v>
      </c>
      <c r="AS280" s="43">
        <f>SUM(AJ281:AJ301)</f>
        <v>0</v>
      </c>
      <c r="AT280" s="43">
        <f>SUM(AK281:AK301)</f>
        <v>0</v>
      </c>
      <c r="AU280" s="43">
        <f>SUM(AL281:AL301)</f>
        <v>0</v>
      </c>
    </row>
    <row r="281" spans="1:64" ht="12.75">
      <c r="A281" s="88" t="s">
        <v>77</v>
      </c>
      <c r="B281" s="88" t="s">
        <v>205</v>
      </c>
      <c r="C281" s="156" t="s">
        <v>448</v>
      </c>
      <c r="D281" s="157"/>
      <c r="E281" s="158"/>
      <c r="F281" s="88" t="s">
        <v>654</v>
      </c>
      <c r="G281" s="96">
        <v>7.5</v>
      </c>
      <c r="H281" s="96">
        <v>0</v>
      </c>
      <c r="I281" s="96">
        <f>G281*AO281</f>
        <v>0</v>
      </c>
      <c r="J281" s="96">
        <f>G281*AP281</f>
        <v>0</v>
      </c>
      <c r="K281" s="96">
        <f>G281*H281</f>
        <v>0</v>
      </c>
      <c r="L281" s="96">
        <v>0</v>
      </c>
      <c r="M281" s="81">
        <v>0</v>
      </c>
      <c r="N281" s="98">
        <v>0</v>
      </c>
      <c r="O281" s="81">
        <f>G281*N281</f>
        <v>0</v>
      </c>
      <c r="P281" s="85"/>
      <c r="Z281" s="36">
        <f>IF(AQ281="5",BJ281,0)</f>
        <v>0</v>
      </c>
      <c r="AB281" s="36">
        <f>IF(AQ281="1",BH281,0)</f>
        <v>0</v>
      </c>
      <c r="AC281" s="36">
        <f>IF(AQ281="1",BI281,0)</f>
        <v>0</v>
      </c>
      <c r="AD281" s="36">
        <f>IF(AQ281="7",BH281,0)</f>
        <v>0</v>
      </c>
      <c r="AE281" s="36">
        <f>IF(AQ281="7",BI281,0)</f>
        <v>0</v>
      </c>
      <c r="AF281" s="36">
        <f>IF(AQ281="2",BH281,0)</f>
        <v>0</v>
      </c>
      <c r="AG281" s="36">
        <f>IF(AQ281="2",BI281,0)</f>
        <v>0</v>
      </c>
      <c r="AH281" s="36">
        <f>IF(AQ281="0",BJ281,0)</f>
        <v>0</v>
      </c>
      <c r="AI281" s="34" t="s">
        <v>691</v>
      </c>
      <c r="AJ281" s="24">
        <f>IF(AN281=0,K281,0)</f>
        <v>0</v>
      </c>
      <c r="AK281" s="24">
        <f>IF(AN281=15,K281,0)</f>
        <v>0</v>
      </c>
      <c r="AL281" s="24">
        <f>IF(AN281=21,K281,0)</f>
        <v>0</v>
      </c>
      <c r="AN281" s="36">
        <v>21</v>
      </c>
      <c r="AO281" s="36">
        <f>H281*0</f>
        <v>0</v>
      </c>
      <c r="AP281" s="36">
        <f>H281*(1-0)</f>
        <v>0</v>
      </c>
      <c r="AQ281" s="37" t="s">
        <v>7</v>
      </c>
      <c r="AV281" s="36">
        <f>AW281+AX281</f>
        <v>0</v>
      </c>
      <c r="AW281" s="36">
        <f>G281*AO281</f>
        <v>0</v>
      </c>
      <c r="AX281" s="36">
        <f>G281*AP281</f>
        <v>0</v>
      </c>
      <c r="AY281" s="39" t="s">
        <v>704</v>
      </c>
      <c r="AZ281" s="39" t="s">
        <v>724</v>
      </c>
      <c r="BA281" s="34" t="s">
        <v>735</v>
      </c>
      <c r="BC281" s="36">
        <f>AW281+AX281</f>
        <v>0</v>
      </c>
      <c r="BD281" s="36">
        <f>H281/(100-BE281)*100</f>
        <v>0</v>
      </c>
      <c r="BE281" s="36">
        <v>0</v>
      </c>
      <c r="BF281" s="36">
        <f>O281</f>
        <v>0</v>
      </c>
      <c r="BH281" s="24">
        <f>G281*AO281</f>
        <v>0</v>
      </c>
      <c r="BI281" s="24">
        <f>G281*AP281</f>
        <v>0</v>
      </c>
      <c r="BJ281" s="24">
        <f>G281*H281</f>
        <v>0</v>
      </c>
      <c r="BK281" s="24" t="s">
        <v>740</v>
      </c>
      <c r="BL281" s="36">
        <v>63</v>
      </c>
    </row>
    <row r="282" spans="1:16" ht="12.75">
      <c r="A282" s="100"/>
      <c r="B282" s="101"/>
      <c r="C282" s="92" t="s">
        <v>449</v>
      </c>
      <c r="E282" s="102" t="s">
        <v>626</v>
      </c>
      <c r="F282" s="101"/>
      <c r="G282" s="103">
        <v>2.5</v>
      </c>
      <c r="H282" s="101"/>
      <c r="I282" s="101"/>
      <c r="J282" s="101"/>
      <c r="K282" s="101"/>
      <c r="L282" s="101"/>
      <c r="M282" s="89"/>
      <c r="N282" s="104"/>
      <c r="O282" s="86"/>
      <c r="P282" s="85"/>
    </row>
    <row r="283" spans="1:16" ht="12.75">
      <c r="A283" s="100"/>
      <c r="B283" s="101"/>
      <c r="C283" s="92" t="s">
        <v>450</v>
      </c>
      <c r="E283" s="102" t="s">
        <v>627</v>
      </c>
      <c r="F283" s="101"/>
      <c r="G283" s="103">
        <v>4.5</v>
      </c>
      <c r="H283" s="101"/>
      <c r="I283" s="101"/>
      <c r="J283" s="101"/>
      <c r="K283" s="101"/>
      <c r="L283" s="101"/>
      <c r="M283" s="89"/>
      <c r="N283" s="104"/>
      <c r="O283" s="86"/>
      <c r="P283" s="85"/>
    </row>
    <row r="284" spans="1:16" ht="12.75">
      <c r="A284" s="100"/>
      <c r="B284" s="101"/>
      <c r="C284" s="92" t="s">
        <v>347</v>
      </c>
      <c r="E284" s="102" t="s">
        <v>628</v>
      </c>
      <c r="F284" s="101"/>
      <c r="G284" s="103">
        <v>0.5</v>
      </c>
      <c r="H284" s="101"/>
      <c r="I284" s="101"/>
      <c r="J284" s="101"/>
      <c r="K284" s="101"/>
      <c r="L284" s="101"/>
      <c r="M284" s="89"/>
      <c r="N284" s="104"/>
      <c r="O284" s="86"/>
      <c r="P284" s="85"/>
    </row>
    <row r="285" spans="1:64" ht="12.75">
      <c r="A285" s="88" t="s">
        <v>78</v>
      </c>
      <c r="B285" s="88" t="s">
        <v>206</v>
      </c>
      <c r="C285" s="156" t="s">
        <v>451</v>
      </c>
      <c r="D285" s="157"/>
      <c r="E285" s="158"/>
      <c r="F285" s="88" t="s">
        <v>653</v>
      </c>
      <c r="G285" s="96">
        <v>3.75</v>
      </c>
      <c r="H285" s="96">
        <v>0</v>
      </c>
      <c r="I285" s="96">
        <f>G285*AO285</f>
        <v>0</v>
      </c>
      <c r="J285" s="96">
        <f>G285*AP285</f>
        <v>0</v>
      </c>
      <c r="K285" s="96">
        <f>G285*H285</f>
        <v>0</v>
      </c>
      <c r="L285" s="96">
        <v>0</v>
      </c>
      <c r="M285" s="81">
        <v>0.001</v>
      </c>
      <c r="N285" s="98">
        <v>0.001</v>
      </c>
      <c r="O285" s="81">
        <f>G285*N285</f>
        <v>0.00375</v>
      </c>
      <c r="P285" s="85"/>
      <c r="Z285" s="36">
        <f>IF(AQ285="5",BJ285,0)</f>
        <v>0</v>
      </c>
      <c r="AB285" s="36">
        <f>IF(AQ285="1",BH285,0)</f>
        <v>0</v>
      </c>
      <c r="AC285" s="36">
        <f>IF(AQ285="1",BI285,0)</f>
        <v>0</v>
      </c>
      <c r="AD285" s="36">
        <f>IF(AQ285="7",BH285,0)</f>
        <v>0</v>
      </c>
      <c r="AE285" s="36">
        <f>IF(AQ285="7",BI285,0)</f>
        <v>0</v>
      </c>
      <c r="AF285" s="36">
        <f>IF(AQ285="2",BH285,0)</f>
        <v>0</v>
      </c>
      <c r="AG285" s="36">
        <f>IF(AQ285="2",BI285,0)</f>
        <v>0</v>
      </c>
      <c r="AH285" s="36">
        <f>IF(AQ285="0",BJ285,0)</f>
        <v>0</v>
      </c>
      <c r="AI285" s="34" t="s">
        <v>691</v>
      </c>
      <c r="AJ285" s="24">
        <f>IF(AN285=0,K285,0)</f>
        <v>0</v>
      </c>
      <c r="AK285" s="24">
        <f>IF(AN285=15,K285,0)</f>
        <v>0</v>
      </c>
      <c r="AL285" s="24">
        <f>IF(AN285=21,K285,0)</f>
        <v>0</v>
      </c>
      <c r="AN285" s="36">
        <v>21</v>
      </c>
      <c r="AO285" s="36">
        <f>H285*0</f>
        <v>0</v>
      </c>
      <c r="AP285" s="36">
        <f>H285*(1-0)</f>
        <v>0</v>
      </c>
      <c r="AQ285" s="37" t="s">
        <v>7</v>
      </c>
      <c r="AV285" s="36">
        <f>AW285+AX285</f>
        <v>0</v>
      </c>
      <c r="AW285" s="36">
        <f>G285*AO285</f>
        <v>0</v>
      </c>
      <c r="AX285" s="36">
        <f>G285*AP285</f>
        <v>0</v>
      </c>
      <c r="AY285" s="39" t="s">
        <v>704</v>
      </c>
      <c r="AZ285" s="39" t="s">
        <v>724</v>
      </c>
      <c r="BA285" s="34" t="s">
        <v>735</v>
      </c>
      <c r="BC285" s="36">
        <f>AW285+AX285</f>
        <v>0</v>
      </c>
      <c r="BD285" s="36">
        <f>H285/(100-BE285)*100</f>
        <v>0</v>
      </c>
      <c r="BE285" s="36">
        <v>0</v>
      </c>
      <c r="BF285" s="36">
        <f>O285</f>
        <v>0.00375</v>
      </c>
      <c r="BH285" s="24">
        <f>G285*AO285</f>
        <v>0</v>
      </c>
      <c r="BI285" s="24">
        <f>G285*AP285</f>
        <v>0</v>
      </c>
      <c r="BJ285" s="24">
        <f>G285*H285</f>
        <v>0</v>
      </c>
      <c r="BK285" s="24" t="s">
        <v>740</v>
      </c>
      <c r="BL285" s="36">
        <v>63</v>
      </c>
    </row>
    <row r="286" spans="1:16" ht="12.75">
      <c r="A286" s="100"/>
      <c r="B286" s="101"/>
      <c r="C286" s="92" t="s">
        <v>452</v>
      </c>
      <c r="E286" s="102" t="s">
        <v>626</v>
      </c>
      <c r="F286" s="101"/>
      <c r="G286" s="103">
        <v>1.25</v>
      </c>
      <c r="H286" s="101"/>
      <c r="I286" s="101"/>
      <c r="J286" s="101"/>
      <c r="K286" s="101"/>
      <c r="L286" s="101"/>
      <c r="M286" s="89"/>
      <c r="N286" s="104"/>
      <c r="O286" s="86"/>
      <c r="P286" s="85"/>
    </row>
    <row r="287" spans="1:16" ht="12.75">
      <c r="A287" s="100"/>
      <c r="B287" s="101"/>
      <c r="C287" s="92" t="s">
        <v>453</v>
      </c>
      <c r="E287" s="102" t="s">
        <v>627</v>
      </c>
      <c r="F287" s="101"/>
      <c r="G287" s="103">
        <v>2.25</v>
      </c>
      <c r="H287" s="101"/>
      <c r="I287" s="101"/>
      <c r="J287" s="101"/>
      <c r="K287" s="101"/>
      <c r="L287" s="101"/>
      <c r="M287" s="89"/>
      <c r="N287" s="104"/>
      <c r="O287" s="86"/>
      <c r="P287" s="85"/>
    </row>
    <row r="288" spans="1:16" ht="12.75">
      <c r="A288" s="100"/>
      <c r="B288" s="101"/>
      <c r="C288" s="92" t="s">
        <v>454</v>
      </c>
      <c r="E288" s="102" t="s">
        <v>628</v>
      </c>
      <c r="F288" s="101"/>
      <c r="G288" s="103">
        <v>0.25</v>
      </c>
      <c r="H288" s="101"/>
      <c r="I288" s="101"/>
      <c r="J288" s="101"/>
      <c r="K288" s="101"/>
      <c r="L288" s="101"/>
      <c r="M288" s="89"/>
      <c r="N288" s="104"/>
      <c r="O288" s="86"/>
      <c r="P288" s="85"/>
    </row>
    <row r="289" spans="1:64" ht="12.75">
      <c r="A289" s="88" t="s">
        <v>79</v>
      </c>
      <c r="B289" s="88" t="s">
        <v>207</v>
      </c>
      <c r="C289" s="156" t="s">
        <v>455</v>
      </c>
      <c r="D289" s="157"/>
      <c r="E289" s="158"/>
      <c r="F289" s="88" t="s">
        <v>653</v>
      </c>
      <c r="G289" s="96">
        <v>15</v>
      </c>
      <c r="H289" s="96">
        <v>0</v>
      </c>
      <c r="I289" s="96">
        <f>G289*AO289</f>
        <v>0</v>
      </c>
      <c r="J289" s="96">
        <f>G289*AP289</f>
        <v>0</v>
      </c>
      <c r="K289" s="96">
        <f>G289*H289</f>
        <v>0</v>
      </c>
      <c r="L289" s="96">
        <v>0</v>
      </c>
      <c r="M289" s="81">
        <v>0</v>
      </c>
      <c r="N289" s="98">
        <v>0</v>
      </c>
      <c r="O289" s="81">
        <f>G289*N289</f>
        <v>0</v>
      </c>
      <c r="P289" s="85"/>
      <c r="Z289" s="36">
        <f>IF(AQ289="5",BJ289,0)</f>
        <v>0</v>
      </c>
      <c r="AB289" s="36">
        <f>IF(AQ289="1",BH289,0)</f>
        <v>0</v>
      </c>
      <c r="AC289" s="36">
        <f>IF(AQ289="1",BI289,0)</f>
        <v>0</v>
      </c>
      <c r="AD289" s="36">
        <f>IF(AQ289="7",BH289,0)</f>
        <v>0</v>
      </c>
      <c r="AE289" s="36">
        <f>IF(AQ289="7",BI289,0)</f>
        <v>0</v>
      </c>
      <c r="AF289" s="36">
        <f>IF(AQ289="2",BH289,0)</f>
        <v>0</v>
      </c>
      <c r="AG289" s="36">
        <f>IF(AQ289="2",BI289,0)</f>
        <v>0</v>
      </c>
      <c r="AH289" s="36">
        <f>IF(AQ289="0",BJ289,0)</f>
        <v>0</v>
      </c>
      <c r="AI289" s="34" t="s">
        <v>691</v>
      </c>
      <c r="AJ289" s="24">
        <f>IF(AN289=0,K289,0)</f>
        <v>0</v>
      </c>
      <c r="AK289" s="24">
        <f>IF(AN289=15,K289,0)</f>
        <v>0</v>
      </c>
      <c r="AL289" s="24">
        <f>IF(AN289=21,K289,0)</f>
        <v>0</v>
      </c>
      <c r="AN289" s="36">
        <v>21</v>
      </c>
      <c r="AO289" s="36">
        <f>H289*0</f>
        <v>0</v>
      </c>
      <c r="AP289" s="36">
        <f>H289*(1-0)</f>
        <v>0</v>
      </c>
      <c r="AQ289" s="37" t="s">
        <v>7</v>
      </c>
      <c r="AV289" s="36">
        <f>AW289+AX289</f>
        <v>0</v>
      </c>
      <c r="AW289" s="36">
        <f>G289*AO289</f>
        <v>0</v>
      </c>
      <c r="AX289" s="36">
        <f>G289*AP289</f>
        <v>0</v>
      </c>
      <c r="AY289" s="39" t="s">
        <v>704</v>
      </c>
      <c r="AZ289" s="39" t="s">
        <v>724</v>
      </c>
      <c r="BA289" s="34" t="s">
        <v>735</v>
      </c>
      <c r="BC289" s="36">
        <f>AW289+AX289</f>
        <v>0</v>
      </c>
      <c r="BD289" s="36">
        <f>H289/(100-BE289)*100</f>
        <v>0</v>
      </c>
      <c r="BE289" s="36">
        <v>0</v>
      </c>
      <c r="BF289" s="36">
        <f>O289</f>
        <v>0</v>
      </c>
      <c r="BH289" s="24">
        <f>G289*AO289</f>
        <v>0</v>
      </c>
      <c r="BI289" s="24">
        <f>G289*AP289</f>
        <v>0</v>
      </c>
      <c r="BJ289" s="24">
        <f>G289*H289</f>
        <v>0</v>
      </c>
      <c r="BK289" s="24" t="s">
        <v>740</v>
      </c>
      <c r="BL289" s="36">
        <v>63</v>
      </c>
    </row>
    <row r="290" spans="1:16" ht="12.75">
      <c r="A290" s="100"/>
      <c r="B290" s="101"/>
      <c r="C290" s="92" t="s">
        <v>456</v>
      </c>
      <c r="E290" s="102" t="s">
        <v>626</v>
      </c>
      <c r="F290" s="101"/>
      <c r="G290" s="103">
        <v>5</v>
      </c>
      <c r="H290" s="101"/>
      <c r="I290" s="101"/>
      <c r="J290" s="101"/>
      <c r="K290" s="101"/>
      <c r="L290" s="101"/>
      <c r="M290" s="89"/>
      <c r="N290" s="104"/>
      <c r="O290" s="86"/>
      <c r="P290" s="85"/>
    </row>
    <row r="291" spans="1:16" ht="12.75">
      <c r="A291" s="100"/>
      <c r="B291" s="101"/>
      <c r="C291" s="92" t="s">
        <v>457</v>
      </c>
      <c r="E291" s="102" t="s">
        <v>627</v>
      </c>
      <c r="F291" s="101"/>
      <c r="G291" s="103">
        <v>9</v>
      </c>
      <c r="H291" s="101"/>
      <c r="I291" s="101"/>
      <c r="J291" s="101"/>
      <c r="K291" s="101"/>
      <c r="L291" s="101"/>
      <c r="M291" s="89"/>
      <c r="N291" s="104"/>
      <c r="O291" s="86"/>
      <c r="P291" s="85"/>
    </row>
    <row r="292" spans="1:16" ht="12.75">
      <c r="A292" s="100"/>
      <c r="B292" s="101"/>
      <c r="C292" s="92" t="s">
        <v>458</v>
      </c>
      <c r="E292" s="102" t="s">
        <v>628</v>
      </c>
      <c r="F292" s="101"/>
      <c r="G292" s="103">
        <v>1</v>
      </c>
      <c r="H292" s="101"/>
      <c r="I292" s="101"/>
      <c r="J292" s="101"/>
      <c r="K292" s="101"/>
      <c r="L292" s="101"/>
      <c r="M292" s="89"/>
      <c r="N292" s="104"/>
      <c r="O292" s="86"/>
      <c r="P292" s="85"/>
    </row>
    <row r="293" spans="1:64" ht="12.75">
      <c r="A293" s="88" t="s">
        <v>80</v>
      </c>
      <c r="B293" s="88" t="s">
        <v>208</v>
      </c>
      <c r="C293" s="156" t="s">
        <v>459</v>
      </c>
      <c r="D293" s="157"/>
      <c r="E293" s="158"/>
      <c r="F293" s="88" t="s">
        <v>653</v>
      </c>
      <c r="G293" s="96">
        <v>3.75</v>
      </c>
      <c r="H293" s="96">
        <v>0</v>
      </c>
      <c r="I293" s="96">
        <f>G293*AO293</f>
        <v>0</v>
      </c>
      <c r="J293" s="96">
        <f>G293*AP293</f>
        <v>0</v>
      </c>
      <c r="K293" s="96">
        <f>G293*H293</f>
        <v>0</v>
      </c>
      <c r="L293" s="96">
        <v>0.00025</v>
      </c>
      <c r="M293" s="81">
        <v>0</v>
      </c>
      <c r="N293" s="98">
        <v>0.00025</v>
      </c>
      <c r="O293" s="81">
        <f>G293*N293</f>
        <v>0.0009375</v>
      </c>
      <c r="P293" s="85"/>
      <c r="Z293" s="36">
        <f>IF(AQ293="5",BJ293,0)</f>
        <v>0</v>
      </c>
      <c r="AB293" s="36">
        <f>IF(AQ293="1",BH293,0)</f>
        <v>0</v>
      </c>
      <c r="AC293" s="36">
        <f>IF(AQ293="1",BI293,0)</f>
        <v>0</v>
      </c>
      <c r="AD293" s="36">
        <f>IF(AQ293="7",BH293,0)</f>
        <v>0</v>
      </c>
      <c r="AE293" s="36">
        <f>IF(AQ293="7",BI293,0)</f>
        <v>0</v>
      </c>
      <c r="AF293" s="36">
        <f>IF(AQ293="2",BH293,0)</f>
        <v>0</v>
      </c>
      <c r="AG293" s="36">
        <f>IF(AQ293="2",BI293,0)</f>
        <v>0</v>
      </c>
      <c r="AH293" s="36">
        <f>IF(AQ293="0",BJ293,0)</f>
        <v>0</v>
      </c>
      <c r="AI293" s="34" t="s">
        <v>691</v>
      </c>
      <c r="AJ293" s="24">
        <f>IF(AN293=0,K293,0)</f>
        <v>0</v>
      </c>
      <c r="AK293" s="24">
        <f>IF(AN293=15,K293,0)</f>
        <v>0</v>
      </c>
      <c r="AL293" s="24">
        <f>IF(AN293=21,K293,0)</f>
        <v>0</v>
      </c>
      <c r="AN293" s="36">
        <v>21</v>
      </c>
      <c r="AO293" s="36">
        <f>H293*0.249525980030449</f>
        <v>0</v>
      </c>
      <c r="AP293" s="36">
        <f>H293*(1-0.249525980030449)</f>
        <v>0</v>
      </c>
      <c r="AQ293" s="37" t="s">
        <v>7</v>
      </c>
      <c r="AV293" s="36">
        <f>AW293+AX293</f>
        <v>0</v>
      </c>
      <c r="AW293" s="36">
        <f>G293*AO293</f>
        <v>0</v>
      </c>
      <c r="AX293" s="36">
        <f>G293*AP293</f>
        <v>0</v>
      </c>
      <c r="AY293" s="39" t="s">
        <v>704</v>
      </c>
      <c r="AZ293" s="39" t="s">
        <v>724</v>
      </c>
      <c r="BA293" s="34" t="s">
        <v>735</v>
      </c>
      <c r="BC293" s="36">
        <f>AW293+AX293</f>
        <v>0</v>
      </c>
      <c r="BD293" s="36">
        <f>H293/(100-BE293)*100</f>
        <v>0</v>
      </c>
      <c r="BE293" s="36">
        <v>0</v>
      </c>
      <c r="BF293" s="36">
        <f>O293</f>
        <v>0.0009375</v>
      </c>
      <c r="BH293" s="24">
        <f>G293*AO293</f>
        <v>0</v>
      </c>
      <c r="BI293" s="24">
        <f>G293*AP293</f>
        <v>0</v>
      </c>
      <c r="BJ293" s="24">
        <f>G293*H293</f>
        <v>0</v>
      </c>
      <c r="BK293" s="24" t="s">
        <v>740</v>
      </c>
      <c r="BL293" s="36">
        <v>63</v>
      </c>
    </row>
    <row r="294" spans="1:16" ht="12.75">
      <c r="A294" s="100"/>
      <c r="B294" s="101"/>
      <c r="C294" s="92" t="s">
        <v>452</v>
      </c>
      <c r="E294" s="102" t="s">
        <v>626</v>
      </c>
      <c r="F294" s="101"/>
      <c r="G294" s="103">
        <v>1.25</v>
      </c>
      <c r="H294" s="101"/>
      <c r="I294" s="101"/>
      <c r="J294" s="101"/>
      <c r="K294" s="101"/>
      <c r="L294" s="101"/>
      <c r="M294" s="89"/>
      <c r="N294" s="104"/>
      <c r="O294" s="86"/>
      <c r="P294" s="85"/>
    </row>
    <row r="295" spans="1:16" ht="12.75">
      <c r="A295" s="100"/>
      <c r="B295" s="101"/>
      <c r="C295" s="92" t="s">
        <v>453</v>
      </c>
      <c r="E295" s="102" t="s">
        <v>627</v>
      </c>
      <c r="F295" s="101"/>
      <c r="G295" s="103">
        <v>2.25</v>
      </c>
      <c r="H295" s="101"/>
      <c r="I295" s="101"/>
      <c r="J295" s="101"/>
      <c r="K295" s="101"/>
      <c r="L295" s="101"/>
      <c r="M295" s="89"/>
      <c r="N295" s="104"/>
      <c r="O295" s="86"/>
      <c r="P295" s="85"/>
    </row>
    <row r="296" spans="1:16" ht="12.75">
      <c r="A296" s="100"/>
      <c r="B296" s="101"/>
      <c r="C296" s="92" t="s">
        <v>454</v>
      </c>
      <c r="E296" s="102" t="s">
        <v>628</v>
      </c>
      <c r="F296" s="101"/>
      <c r="G296" s="103">
        <v>0.25</v>
      </c>
      <c r="H296" s="101"/>
      <c r="I296" s="101"/>
      <c r="J296" s="101"/>
      <c r="K296" s="101"/>
      <c r="L296" s="101"/>
      <c r="M296" s="89"/>
      <c r="N296" s="104"/>
      <c r="O296" s="86"/>
      <c r="P296" s="85"/>
    </row>
    <row r="297" spans="1:64" ht="12.75">
      <c r="A297" s="88" t="s">
        <v>81</v>
      </c>
      <c r="B297" s="88" t="s">
        <v>209</v>
      </c>
      <c r="C297" s="156" t="s">
        <v>460</v>
      </c>
      <c r="D297" s="157"/>
      <c r="E297" s="158"/>
      <c r="F297" s="88" t="s">
        <v>654</v>
      </c>
      <c r="G297" s="96">
        <v>7.5</v>
      </c>
      <c r="H297" s="96">
        <v>0</v>
      </c>
      <c r="I297" s="96">
        <f>G297*AO297</f>
        <v>0</v>
      </c>
      <c r="J297" s="96">
        <f>G297*AP297</f>
        <v>0</v>
      </c>
      <c r="K297" s="96">
        <f>G297*H297</f>
        <v>0</v>
      </c>
      <c r="L297" s="96">
        <v>0.00024</v>
      </c>
      <c r="M297" s="81">
        <v>0</v>
      </c>
      <c r="N297" s="98">
        <v>0.00024</v>
      </c>
      <c r="O297" s="81">
        <f>G297*N297</f>
        <v>0.0018</v>
      </c>
      <c r="P297" s="85"/>
      <c r="Z297" s="36">
        <f>IF(AQ297="5",BJ297,0)</f>
        <v>0</v>
      </c>
      <c r="AB297" s="36">
        <f>IF(AQ297="1",BH297,0)</f>
        <v>0</v>
      </c>
      <c r="AC297" s="36">
        <f>IF(AQ297="1",BI297,0)</f>
        <v>0</v>
      </c>
      <c r="AD297" s="36">
        <f>IF(AQ297="7",BH297,0)</f>
        <v>0</v>
      </c>
      <c r="AE297" s="36">
        <f>IF(AQ297="7",BI297,0)</f>
        <v>0</v>
      </c>
      <c r="AF297" s="36">
        <f>IF(AQ297="2",BH297,0)</f>
        <v>0</v>
      </c>
      <c r="AG297" s="36">
        <f>IF(AQ297="2",BI297,0)</f>
        <v>0</v>
      </c>
      <c r="AH297" s="36">
        <f>IF(AQ297="0",BJ297,0)</f>
        <v>0</v>
      </c>
      <c r="AI297" s="34" t="s">
        <v>691</v>
      </c>
      <c r="AJ297" s="24">
        <f>IF(AN297=0,K297,0)</f>
        <v>0</v>
      </c>
      <c r="AK297" s="24">
        <f>IF(AN297=15,K297,0)</f>
        <v>0</v>
      </c>
      <c r="AL297" s="24">
        <f>IF(AN297=21,K297,0)</f>
        <v>0</v>
      </c>
      <c r="AN297" s="36">
        <v>21</v>
      </c>
      <c r="AO297" s="36">
        <f>H297*0.313604337233038</f>
        <v>0</v>
      </c>
      <c r="AP297" s="36">
        <f>H297*(1-0.313604337233038)</f>
        <v>0</v>
      </c>
      <c r="AQ297" s="37" t="s">
        <v>7</v>
      </c>
      <c r="AV297" s="36">
        <f>AW297+AX297</f>
        <v>0</v>
      </c>
      <c r="AW297" s="36">
        <f>G297*AO297</f>
        <v>0</v>
      </c>
      <c r="AX297" s="36">
        <f>G297*AP297</f>
        <v>0</v>
      </c>
      <c r="AY297" s="39" t="s">
        <v>704</v>
      </c>
      <c r="AZ297" s="39" t="s">
        <v>724</v>
      </c>
      <c r="BA297" s="34" t="s">
        <v>735</v>
      </c>
      <c r="BC297" s="36">
        <f>AW297+AX297</f>
        <v>0</v>
      </c>
      <c r="BD297" s="36">
        <f>H297/(100-BE297)*100</f>
        <v>0</v>
      </c>
      <c r="BE297" s="36">
        <v>0</v>
      </c>
      <c r="BF297" s="36">
        <f>O297</f>
        <v>0.0018</v>
      </c>
      <c r="BH297" s="24">
        <f>G297*AO297</f>
        <v>0</v>
      </c>
      <c r="BI297" s="24">
        <f>G297*AP297</f>
        <v>0</v>
      </c>
      <c r="BJ297" s="24">
        <f>G297*H297</f>
        <v>0</v>
      </c>
      <c r="BK297" s="24" t="s">
        <v>740</v>
      </c>
      <c r="BL297" s="36">
        <v>63</v>
      </c>
    </row>
    <row r="298" spans="1:16" ht="12.75">
      <c r="A298" s="100"/>
      <c r="B298" s="101"/>
      <c r="C298" s="92" t="s">
        <v>449</v>
      </c>
      <c r="E298" s="102" t="s">
        <v>626</v>
      </c>
      <c r="F298" s="101"/>
      <c r="G298" s="103">
        <v>2.5</v>
      </c>
      <c r="H298" s="101"/>
      <c r="I298" s="101"/>
      <c r="J298" s="101"/>
      <c r="K298" s="101"/>
      <c r="L298" s="101"/>
      <c r="M298" s="89"/>
      <c r="N298" s="104"/>
      <c r="O298" s="86"/>
      <c r="P298" s="85"/>
    </row>
    <row r="299" spans="1:16" ht="12.75">
      <c r="A299" s="100"/>
      <c r="B299" s="101"/>
      <c r="C299" s="92" t="s">
        <v>450</v>
      </c>
      <c r="E299" s="102" t="s">
        <v>627</v>
      </c>
      <c r="F299" s="101"/>
      <c r="G299" s="103">
        <v>4.5</v>
      </c>
      <c r="H299" s="101"/>
      <c r="I299" s="101"/>
      <c r="J299" s="101"/>
      <c r="K299" s="101"/>
      <c r="L299" s="101"/>
      <c r="M299" s="89"/>
      <c r="N299" s="104"/>
      <c r="O299" s="86"/>
      <c r="P299" s="85"/>
    </row>
    <row r="300" spans="1:16" ht="12.75">
      <c r="A300" s="100"/>
      <c r="B300" s="101"/>
      <c r="C300" s="92" t="s">
        <v>347</v>
      </c>
      <c r="E300" s="102" t="s">
        <v>628</v>
      </c>
      <c r="F300" s="101"/>
      <c r="G300" s="103">
        <v>0.5</v>
      </c>
      <c r="H300" s="101"/>
      <c r="I300" s="101"/>
      <c r="J300" s="101"/>
      <c r="K300" s="101"/>
      <c r="L300" s="101"/>
      <c r="M300" s="89"/>
      <c r="N300" s="104"/>
      <c r="O300" s="86"/>
      <c r="P300" s="85"/>
    </row>
    <row r="301" spans="1:64" ht="12.75">
      <c r="A301" s="80" t="s">
        <v>82</v>
      </c>
      <c r="B301" s="80" t="s">
        <v>210</v>
      </c>
      <c r="C301" s="162" t="s">
        <v>461</v>
      </c>
      <c r="D301" s="157"/>
      <c r="E301" s="164"/>
      <c r="F301" s="80" t="s">
        <v>656</v>
      </c>
      <c r="G301" s="83">
        <v>0.1</v>
      </c>
      <c r="H301" s="83">
        <v>0</v>
      </c>
      <c r="I301" s="83">
        <f>G301*AO301</f>
        <v>0</v>
      </c>
      <c r="J301" s="83">
        <f>G301*AP301</f>
        <v>0</v>
      </c>
      <c r="K301" s="83">
        <f>G301*H301</f>
        <v>0</v>
      </c>
      <c r="L301" s="83">
        <v>0</v>
      </c>
      <c r="M301" s="82">
        <v>0</v>
      </c>
      <c r="N301" s="84">
        <v>0</v>
      </c>
      <c r="O301" s="82">
        <f>G301*N301</f>
        <v>0</v>
      </c>
      <c r="P301" s="85"/>
      <c r="Z301" s="36">
        <f>IF(AQ301="5",BJ301,0)</f>
        <v>0</v>
      </c>
      <c r="AB301" s="36">
        <f>IF(AQ301="1",BH301,0)</f>
        <v>0</v>
      </c>
      <c r="AC301" s="36">
        <f>IF(AQ301="1",BI301,0)</f>
        <v>0</v>
      </c>
      <c r="AD301" s="36">
        <f>IF(AQ301="7",BH301,0)</f>
        <v>0</v>
      </c>
      <c r="AE301" s="36">
        <f>IF(AQ301="7",BI301,0)</f>
        <v>0</v>
      </c>
      <c r="AF301" s="36">
        <f>IF(AQ301="2",BH301,0)</f>
        <v>0</v>
      </c>
      <c r="AG301" s="36">
        <f>IF(AQ301="2",BI301,0)</f>
        <v>0</v>
      </c>
      <c r="AH301" s="36">
        <f>IF(AQ301="0",BJ301,0)</f>
        <v>0</v>
      </c>
      <c r="AI301" s="34" t="s">
        <v>691</v>
      </c>
      <c r="AJ301" s="24">
        <f>IF(AN301=0,K301,0)</f>
        <v>0</v>
      </c>
      <c r="AK301" s="24">
        <f>IF(AN301=15,K301,0)</f>
        <v>0</v>
      </c>
      <c r="AL301" s="24">
        <f>IF(AN301=21,K301,0)</f>
        <v>0</v>
      </c>
      <c r="AN301" s="36">
        <v>21</v>
      </c>
      <c r="AO301" s="36">
        <f>H301*0</f>
        <v>0</v>
      </c>
      <c r="AP301" s="36">
        <f>H301*(1-0)</f>
        <v>0</v>
      </c>
      <c r="AQ301" s="37" t="s">
        <v>11</v>
      </c>
      <c r="AV301" s="36">
        <f>AW301+AX301</f>
        <v>0</v>
      </c>
      <c r="AW301" s="36">
        <f>G301*AO301</f>
        <v>0</v>
      </c>
      <c r="AX301" s="36">
        <f>G301*AP301</f>
        <v>0</v>
      </c>
      <c r="AY301" s="39" t="s">
        <v>704</v>
      </c>
      <c r="AZ301" s="39" t="s">
        <v>724</v>
      </c>
      <c r="BA301" s="34" t="s">
        <v>735</v>
      </c>
      <c r="BC301" s="36">
        <f>AW301+AX301</f>
        <v>0</v>
      </c>
      <c r="BD301" s="36">
        <f>H301/(100-BE301)*100</f>
        <v>0</v>
      </c>
      <c r="BE301" s="36">
        <v>0</v>
      </c>
      <c r="BF301" s="36">
        <f>O301</f>
        <v>0</v>
      </c>
      <c r="BH301" s="24">
        <f>G301*AO301</f>
        <v>0</v>
      </c>
      <c r="BI301" s="24">
        <f>G301*AP301</f>
        <v>0</v>
      </c>
      <c r="BJ301" s="24">
        <f>G301*H301</f>
        <v>0</v>
      </c>
      <c r="BK301" s="24" t="s">
        <v>740</v>
      </c>
      <c r="BL301" s="36">
        <v>63</v>
      </c>
    </row>
    <row r="302" spans="1:47" ht="12.75">
      <c r="A302" s="4"/>
      <c r="B302" s="13" t="s">
        <v>211</v>
      </c>
      <c r="C302" s="160" t="s">
        <v>462</v>
      </c>
      <c r="D302" s="161"/>
      <c r="E302" s="161"/>
      <c r="F302" s="22" t="s">
        <v>6</v>
      </c>
      <c r="G302" s="22" t="s">
        <v>6</v>
      </c>
      <c r="H302" s="22" t="s">
        <v>6</v>
      </c>
      <c r="I302" s="43">
        <f>SUM(I303:I308)</f>
        <v>0</v>
      </c>
      <c r="J302" s="43">
        <f>SUM(J303:J308)</f>
        <v>0</v>
      </c>
      <c r="K302" s="43">
        <f>SUM(K303:K308)</f>
        <v>0</v>
      </c>
      <c r="L302" s="34"/>
      <c r="M302" s="34"/>
      <c r="N302" s="34"/>
      <c r="O302" s="46">
        <f>SUM(O303:O308)</f>
        <v>0.038911999999999995</v>
      </c>
      <c r="P302" s="6"/>
      <c r="AI302" s="34" t="s">
        <v>691</v>
      </c>
      <c r="AS302" s="43">
        <f>SUM(AJ303:AJ308)</f>
        <v>0</v>
      </c>
      <c r="AT302" s="43">
        <f>SUM(AK303:AK308)</f>
        <v>0</v>
      </c>
      <c r="AU302" s="43">
        <f>SUM(AL303:AL308)</f>
        <v>0</v>
      </c>
    </row>
    <row r="303" spans="1:64" ht="12.75">
      <c r="A303" s="88" t="s">
        <v>83</v>
      </c>
      <c r="B303" s="88" t="s">
        <v>212</v>
      </c>
      <c r="C303" s="156" t="s">
        <v>463</v>
      </c>
      <c r="D303" s="157"/>
      <c r="E303" s="158"/>
      <c r="F303" s="88" t="s">
        <v>654</v>
      </c>
      <c r="G303" s="96">
        <v>16</v>
      </c>
      <c r="H303" s="96">
        <v>0</v>
      </c>
      <c r="I303" s="96">
        <f>G303*AO303</f>
        <v>0</v>
      </c>
      <c r="J303" s="96">
        <f>G303*AP303</f>
        <v>0</v>
      </c>
      <c r="K303" s="96">
        <f>G303*H303</f>
        <v>0</v>
      </c>
      <c r="L303" s="96">
        <v>0.00032</v>
      </c>
      <c r="M303" s="81">
        <v>0</v>
      </c>
      <c r="N303" s="98">
        <v>0.00032</v>
      </c>
      <c r="O303" s="81">
        <f>G303*N303</f>
        <v>0.00512</v>
      </c>
      <c r="P303" s="85"/>
      <c r="Z303" s="36">
        <f>IF(AQ303="5",BJ303,0)</f>
        <v>0</v>
      </c>
      <c r="AB303" s="36">
        <f>IF(AQ303="1",BH303,0)</f>
        <v>0</v>
      </c>
      <c r="AC303" s="36">
        <f>IF(AQ303="1",BI303,0)</f>
        <v>0</v>
      </c>
      <c r="AD303" s="36">
        <f>IF(AQ303="7",BH303,0)</f>
        <v>0</v>
      </c>
      <c r="AE303" s="36">
        <f>IF(AQ303="7",BI303,0)</f>
        <v>0</v>
      </c>
      <c r="AF303" s="36">
        <f>IF(AQ303="2",BH303,0)</f>
        <v>0</v>
      </c>
      <c r="AG303" s="36">
        <f>IF(AQ303="2",BI303,0)</f>
        <v>0</v>
      </c>
      <c r="AH303" s="36">
        <f>IF(AQ303="0",BJ303,0)</f>
        <v>0</v>
      </c>
      <c r="AI303" s="34" t="s">
        <v>691</v>
      </c>
      <c r="AJ303" s="24">
        <f>IF(AN303=0,K303,0)</f>
        <v>0</v>
      </c>
      <c r="AK303" s="24">
        <f>IF(AN303=15,K303,0)</f>
        <v>0</v>
      </c>
      <c r="AL303" s="24">
        <f>IF(AN303=21,K303,0)</f>
        <v>0</v>
      </c>
      <c r="AN303" s="36">
        <v>21</v>
      </c>
      <c r="AO303" s="36">
        <f>H303*0.0784126984126984</f>
        <v>0</v>
      </c>
      <c r="AP303" s="36">
        <f>H303*(1-0.0784126984126984)</f>
        <v>0</v>
      </c>
      <c r="AQ303" s="37" t="s">
        <v>13</v>
      </c>
      <c r="AV303" s="36">
        <f>AW303+AX303</f>
        <v>0</v>
      </c>
      <c r="AW303" s="36">
        <f>G303*AO303</f>
        <v>0</v>
      </c>
      <c r="AX303" s="36">
        <f>G303*AP303</f>
        <v>0</v>
      </c>
      <c r="AY303" s="39" t="s">
        <v>705</v>
      </c>
      <c r="AZ303" s="39" t="s">
        <v>727</v>
      </c>
      <c r="BA303" s="34" t="s">
        <v>735</v>
      </c>
      <c r="BC303" s="36">
        <f>AW303+AX303</f>
        <v>0</v>
      </c>
      <c r="BD303" s="36">
        <f>H303/(100-BE303)*100</f>
        <v>0</v>
      </c>
      <c r="BE303" s="36">
        <v>0</v>
      </c>
      <c r="BF303" s="36">
        <f>O303</f>
        <v>0.00512</v>
      </c>
      <c r="BH303" s="24">
        <f>G303*AO303</f>
        <v>0</v>
      </c>
      <c r="BI303" s="24">
        <f>G303*AP303</f>
        <v>0</v>
      </c>
      <c r="BJ303" s="24">
        <f>G303*H303</f>
        <v>0</v>
      </c>
      <c r="BK303" s="24" t="s">
        <v>740</v>
      </c>
      <c r="BL303" s="36">
        <v>771</v>
      </c>
    </row>
    <row r="304" spans="1:16" ht="12.75">
      <c r="A304" s="100"/>
      <c r="B304" s="101"/>
      <c r="C304" s="92" t="s">
        <v>464</v>
      </c>
      <c r="E304" s="102" t="s">
        <v>629</v>
      </c>
      <c r="F304" s="101"/>
      <c r="G304" s="103">
        <v>16</v>
      </c>
      <c r="H304" s="101"/>
      <c r="I304" s="101"/>
      <c r="J304" s="101"/>
      <c r="K304" s="101"/>
      <c r="L304" s="101"/>
      <c r="M304" s="89"/>
      <c r="N304" s="104"/>
      <c r="O304" s="86"/>
      <c r="P304" s="85"/>
    </row>
    <row r="305" spans="1:64" ht="12.75">
      <c r="A305" s="106" t="s">
        <v>84</v>
      </c>
      <c r="B305" s="106" t="s">
        <v>213</v>
      </c>
      <c r="C305" s="171" t="s">
        <v>465</v>
      </c>
      <c r="D305" s="172"/>
      <c r="E305" s="173"/>
      <c r="F305" s="106" t="s">
        <v>653</v>
      </c>
      <c r="G305" s="107">
        <v>1.76</v>
      </c>
      <c r="H305" s="107">
        <v>0</v>
      </c>
      <c r="I305" s="107">
        <f>G305*AO305</f>
        <v>0</v>
      </c>
      <c r="J305" s="107">
        <f>G305*AP305</f>
        <v>0</v>
      </c>
      <c r="K305" s="107">
        <f>G305*H305</f>
        <v>0</v>
      </c>
      <c r="L305" s="107">
        <v>0.0192</v>
      </c>
      <c r="M305" s="105">
        <v>0</v>
      </c>
      <c r="N305" s="108">
        <v>0.0192</v>
      </c>
      <c r="O305" s="105">
        <f>G305*N305</f>
        <v>0.033791999999999996</v>
      </c>
      <c r="P305" s="85"/>
      <c r="Z305" s="36">
        <f>IF(AQ305="5",BJ305,0)</f>
        <v>0</v>
      </c>
      <c r="AB305" s="36">
        <f>IF(AQ305="1",BH305,0)</f>
        <v>0</v>
      </c>
      <c r="AC305" s="36">
        <f>IF(AQ305="1",BI305,0)</f>
        <v>0</v>
      </c>
      <c r="AD305" s="36">
        <f>IF(AQ305="7",BH305,0)</f>
        <v>0</v>
      </c>
      <c r="AE305" s="36">
        <f>IF(AQ305="7",BI305,0)</f>
        <v>0</v>
      </c>
      <c r="AF305" s="36">
        <f>IF(AQ305="2",BH305,0)</f>
        <v>0</v>
      </c>
      <c r="AG305" s="36">
        <f>IF(AQ305="2",BI305,0)</f>
        <v>0</v>
      </c>
      <c r="AH305" s="36">
        <f>IF(AQ305="0",BJ305,0)</f>
        <v>0</v>
      </c>
      <c r="AI305" s="34" t="s">
        <v>691</v>
      </c>
      <c r="AJ305" s="26">
        <f>IF(AN305=0,K305,0)</f>
        <v>0</v>
      </c>
      <c r="AK305" s="26">
        <f>IF(AN305=15,K305,0)</f>
        <v>0</v>
      </c>
      <c r="AL305" s="26">
        <f>IF(AN305=21,K305,0)</f>
        <v>0</v>
      </c>
      <c r="AN305" s="36">
        <v>21</v>
      </c>
      <c r="AO305" s="36">
        <f>H305*1</f>
        <v>0</v>
      </c>
      <c r="AP305" s="36">
        <f>H305*(1-1)</f>
        <v>0</v>
      </c>
      <c r="AQ305" s="38" t="s">
        <v>13</v>
      </c>
      <c r="AV305" s="36">
        <f>AW305+AX305</f>
        <v>0</v>
      </c>
      <c r="AW305" s="36">
        <f>G305*AO305</f>
        <v>0</v>
      </c>
      <c r="AX305" s="36">
        <f>G305*AP305</f>
        <v>0</v>
      </c>
      <c r="AY305" s="39" t="s">
        <v>705</v>
      </c>
      <c r="AZ305" s="39" t="s">
        <v>727</v>
      </c>
      <c r="BA305" s="34" t="s">
        <v>735</v>
      </c>
      <c r="BC305" s="36">
        <f>AW305+AX305</f>
        <v>0</v>
      </c>
      <c r="BD305" s="36">
        <f>H305/(100-BE305)*100</f>
        <v>0</v>
      </c>
      <c r="BE305" s="36">
        <v>0</v>
      </c>
      <c r="BF305" s="36">
        <f>O305</f>
        <v>0.033791999999999996</v>
      </c>
      <c r="BH305" s="26">
        <f>G305*AO305</f>
        <v>0</v>
      </c>
      <c r="BI305" s="26">
        <f>G305*AP305</f>
        <v>0</v>
      </c>
      <c r="BJ305" s="26">
        <f>G305*H305</f>
        <v>0</v>
      </c>
      <c r="BK305" s="26" t="s">
        <v>741</v>
      </c>
      <c r="BL305" s="36">
        <v>771</v>
      </c>
    </row>
    <row r="306" spans="1:16" ht="12.75">
      <c r="A306" s="100"/>
      <c r="B306" s="101"/>
      <c r="C306" s="92" t="s">
        <v>466</v>
      </c>
      <c r="E306" s="102" t="s">
        <v>629</v>
      </c>
      <c r="F306" s="101"/>
      <c r="G306" s="103">
        <v>1.6</v>
      </c>
      <c r="H306" s="101"/>
      <c r="I306" s="101"/>
      <c r="J306" s="101"/>
      <c r="K306" s="101"/>
      <c r="L306" s="101"/>
      <c r="M306" s="89"/>
      <c r="N306" s="104"/>
      <c r="O306" s="86"/>
      <c r="P306" s="85"/>
    </row>
    <row r="307" spans="1:16" ht="12.75">
      <c r="A307" s="100"/>
      <c r="B307" s="101"/>
      <c r="C307" s="92" t="s">
        <v>467</v>
      </c>
      <c r="E307" s="102"/>
      <c r="F307" s="101"/>
      <c r="G307" s="103">
        <v>0.16</v>
      </c>
      <c r="H307" s="101"/>
      <c r="I307" s="101"/>
      <c r="J307" s="101"/>
      <c r="K307" s="101"/>
      <c r="L307" s="101"/>
      <c r="M307" s="89"/>
      <c r="N307" s="104"/>
      <c r="O307" s="86"/>
      <c r="P307" s="85"/>
    </row>
    <row r="308" spans="1:64" ht="12.75">
      <c r="A308" s="80" t="s">
        <v>85</v>
      </c>
      <c r="B308" s="80" t="s">
        <v>214</v>
      </c>
      <c r="C308" s="162" t="s">
        <v>468</v>
      </c>
      <c r="D308" s="157"/>
      <c r="E308" s="164"/>
      <c r="F308" s="80" t="s">
        <v>656</v>
      </c>
      <c r="G308" s="83">
        <v>0.2</v>
      </c>
      <c r="H308" s="83">
        <v>0</v>
      </c>
      <c r="I308" s="83">
        <f>G308*AO308</f>
        <v>0</v>
      </c>
      <c r="J308" s="83">
        <f>G308*AP308</f>
        <v>0</v>
      </c>
      <c r="K308" s="83">
        <f>G308*H308</f>
        <v>0</v>
      </c>
      <c r="L308" s="83">
        <v>0</v>
      </c>
      <c r="M308" s="82">
        <v>0</v>
      </c>
      <c r="N308" s="84">
        <v>0</v>
      </c>
      <c r="O308" s="82">
        <f>G308*N308</f>
        <v>0</v>
      </c>
      <c r="P308" s="85"/>
      <c r="Z308" s="36">
        <f>IF(AQ308="5",BJ308,0)</f>
        <v>0</v>
      </c>
      <c r="AB308" s="36">
        <f>IF(AQ308="1",BH308,0)</f>
        <v>0</v>
      </c>
      <c r="AC308" s="36">
        <f>IF(AQ308="1",BI308,0)</f>
        <v>0</v>
      </c>
      <c r="AD308" s="36">
        <f>IF(AQ308="7",BH308,0)</f>
        <v>0</v>
      </c>
      <c r="AE308" s="36">
        <f>IF(AQ308="7",BI308,0)</f>
        <v>0</v>
      </c>
      <c r="AF308" s="36">
        <f>IF(AQ308="2",BH308,0)</f>
        <v>0</v>
      </c>
      <c r="AG308" s="36">
        <f>IF(AQ308="2",BI308,0)</f>
        <v>0</v>
      </c>
      <c r="AH308" s="36">
        <f>IF(AQ308="0",BJ308,0)</f>
        <v>0</v>
      </c>
      <c r="AI308" s="34" t="s">
        <v>691</v>
      </c>
      <c r="AJ308" s="24">
        <f>IF(AN308=0,K308,0)</f>
        <v>0</v>
      </c>
      <c r="AK308" s="24">
        <f>IF(AN308=15,K308,0)</f>
        <v>0</v>
      </c>
      <c r="AL308" s="24">
        <f>IF(AN308=21,K308,0)</f>
        <v>0</v>
      </c>
      <c r="AN308" s="36">
        <v>21</v>
      </c>
      <c r="AO308" s="36">
        <f>H308*0</f>
        <v>0</v>
      </c>
      <c r="AP308" s="36">
        <f>H308*(1-0)</f>
        <v>0</v>
      </c>
      <c r="AQ308" s="37" t="s">
        <v>11</v>
      </c>
      <c r="AV308" s="36">
        <f>AW308+AX308</f>
        <v>0</v>
      </c>
      <c r="AW308" s="36">
        <f>G308*AO308</f>
        <v>0</v>
      </c>
      <c r="AX308" s="36">
        <f>G308*AP308</f>
        <v>0</v>
      </c>
      <c r="AY308" s="39" t="s">
        <v>705</v>
      </c>
      <c r="AZ308" s="39" t="s">
        <v>727</v>
      </c>
      <c r="BA308" s="34" t="s">
        <v>735</v>
      </c>
      <c r="BC308" s="36">
        <f>AW308+AX308</f>
        <v>0</v>
      </c>
      <c r="BD308" s="36">
        <f>H308/(100-BE308)*100</f>
        <v>0</v>
      </c>
      <c r="BE308" s="36">
        <v>0</v>
      </c>
      <c r="BF308" s="36">
        <f>O308</f>
        <v>0</v>
      </c>
      <c r="BH308" s="24">
        <f>G308*AO308</f>
        <v>0</v>
      </c>
      <c r="BI308" s="24">
        <f>G308*AP308</f>
        <v>0</v>
      </c>
      <c r="BJ308" s="24">
        <f>G308*H308</f>
        <v>0</v>
      </c>
      <c r="BK308" s="24" t="s">
        <v>740</v>
      </c>
      <c r="BL308" s="36">
        <v>771</v>
      </c>
    </row>
    <row r="309" spans="1:47" ht="12.75">
      <c r="A309" s="4"/>
      <c r="B309" s="13" t="s">
        <v>215</v>
      </c>
      <c r="C309" s="160" t="s">
        <v>469</v>
      </c>
      <c r="D309" s="161"/>
      <c r="E309" s="161"/>
      <c r="F309" s="22" t="s">
        <v>6</v>
      </c>
      <c r="G309" s="22" t="s">
        <v>6</v>
      </c>
      <c r="H309" s="22" t="s">
        <v>6</v>
      </c>
      <c r="I309" s="43">
        <f>SUM(I310:I313)</f>
        <v>0</v>
      </c>
      <c r="J309" s="43">
        <f>SUM(J310:J313)</f>
        <v>0</v>
      </c>
      <c r="K309" s="43">
        <f>SUM(K310:K313)</f>
        <v>0</v>
      </c>
      <c r="L309" s="34"/>
      <c r="M309" s="34"/>
      <c r="N309" s="34"/>
      <c r="O309" s="46">
        <f>SUM(O310:O313)</f>
        <v>0.09252250000000001</v>
      </c>
      <c r="P309" s="6"/>
      <c r="AI309" s="34" t="s">
        <v>691</v>
      </c>
      <c r="AS309" s="43">
        <f>SUM(AJ310:AJ313)</f>
        <v>0</v>
      </c>
      <c r="AT309" s="43">
        <f>SUM(AK310:AK313)</f>
        <v>0</v>
      </c>
      <c r="AU309" s="43">
        <f>SUM(AL310:AL313)</f>
        <v>0</v>
      </c>
    </row>
    <row r="310" spans="1:64" ht="12.75">
      <c r="A310" s="88" t="s">
        <v>86</v>
      </c>
      <c r="B310" s="88" t="s">
        <v>216</v>
      </c>
      <c r="C310" s="156" t="s">
        <v>470</v>
      </c>
      <c r="D310" s="157"/>
      <c r="E310" s="158"/>
      <c r="F310" s="88" t="s">
        <v>653</v>
      </c>
      <c r="G310" s="96">
        <v>1.75</v>
      </c>
      <c r="H310" s="96">
        <v>0</v>
      </c>
      <c r="I310" s="96">
        <f>G310*AO310</f>
        <v>0</v>
      </c>
      <c r="J310" s="96">
        <f>G310*AP310</f>
        <v>0</v>
      </c>
      <c r="K310" s="96">
        <f>G310*H310</f>
        <v>0</v>
      </c>
      <c r="L310" s="96">
        <v>0.03073</v>
      </c>
      <c r="M310" s="81">
        <v>0</v>
      </c>
      <c r="N310" s="98">
        <v>0.03073</v>
      </c>
      <c r="O310" s="81">
        <f>G310*N310</f>
        <v>0.0537775</v>
      </c>
      <c r="P310" s="85"/>
      <c r="Z310" s="36">
        <f>IF(AQ310="5",BJ310,0)</f>
        <v>0</v>
      </c>
      <c r="AB310" s="36">
        <f>IF(AQ310="1",BH310,0)</f>
        <v>0</v>
      </c>
      <c r="AC310" s="36">
        <f>IF(AQ310="1",BI310,0)</f>
        <v>0</v>
      </c>
      <c r="AD310" s="36">
        <f>IF(AQ310="7",BH310,0)</f>
        <v>0</v>
      </c>
      <c r="AE310" s="36">
        <f>IF(AQ310="7",BI310,0)</f>
        <v>0</v>
      </c>
      <c r="AF310" s="36">
        <f>IF(AQ310="2",BH310,0)</f>
        <v>0</v>
      </c>
      <c r="AG310" s="36">
        <f>IF(AQ310="2",BI310,0)</f>
        <v>0</v>
      </c>
      <c r="AH310" s="36">
        <f>IF(AQ310="0",BJ310,0)</f>
        <v>0</v>
      </c>
      <c r="AI310" s="34" t="s">
        <v>691</v>
      </c>
      <c r="AJ310" s="24">
        <f>IF(AN310=0,K310,0)</f>
        <v>0</v>
      </c>
      <c r="AK310" s="24">
        <f>IF(AN310=15,K310,0)</f>
        <v>0</v>
      </c>
      <c r="AL310" s="24">
        <f>IF(AN310=21,K310,0)</f>
        <v>0</v>
      </c>
      <c r="AN310" s="36">
        <v>21</v>
      </c>
      <c r="AO310" s="36">
        <f>H310*0.243856960408685</f>
        <v>0</v>
      </c>
      <c r="AP310" s="36">
        <f>H310*(1-0.243856960408685)</f>
        <v>0</v>
      </c>
      <c r="AQ310" s="37" t="s">
        <v>13</v>
      </c>
      <c r="AV310" s="36">
        <f>AW310+AX310</f>
        <v>0</v>
      </c>
      <c r="AW310" s="36">
        <f>G310*AO310</f>
        <v>0</v>
      </c>
      <c r="AX310" s="36">
        <f>G310*AP310</f>
        <v>0</v>
      </c>
      <c r="AY310" s="39" t="s">
        <v>706</v>
      </c>
      <c r="AZ310" s="39" t="s">
        <v>728</v>
      </c>
      <c r="BA310" s="34" t="s">
        <v>735</v>
      </c>
      <c r="BC310" s="36">
        <f>AW310+AX310</f>
        <v>0</v>
      </c>
      <c r="BD310" s="36">
        <f>H310/(100-BE310)*100</f>
        <v>0</v>
      </c>
      <c r="BE310" s="36">
        <v>0</v>
      </c>
      <c r="BF310" s="36">
        <f>O310</f>
        <v>0.0537775</v>
      </c>
      <c r="BH310" s="24">
        <f>G310*AO310</f>
        <v>0</v>
      </c>
      <c r="BI310" s="24">
        <f>G310*AP310</f>
        <v>0</v>
      </c>
      <c r="BJ310" s="24">
        <f>G310*H310</f>
        <v>0</v>
      </c>
      <c r="BK310" s="24" t="s">
        <v>740</v>
      </c>
      <c r="BL310" s="36">
        <v>782</v>
      </c>
    </row>
    <row r="311" spans="1:16" ht="12.75">
      <c r="A311" s="91"/>
      <c r="B311" s="94"/>
      <c r="C311" s="93" t="s">
        <v>471</v>
      </c>
      <c r="E311" s="95" t="s">
        <v>630</v>
      </c>
      <c r="F311" s="94"/>
      <c r="G311" s="97">
        <v>1.75</v>
      </c>
      <c r="H311" s="94"/>
      <c r="I311" s="94"/>
      <c r="J311" s="94"/>
      <c r="K311" s="94"/>
      <c r="L311" s="94"/>
      <c r="M311" s="90"/>
      <c r="N311" s="99"/>
      <c r="O311" s="87"/>
      <c r="P311" s="85"/>
    </row>
    <row r="312" spans="1:16" ht="12.75">
      <c r="A312" s="6"/>
      <c r="B312" s="16" t="s">
        <v>137</v>
      </c>
      <c r="C312" s="165" t="s">
        <v>472</v>
      </c>
      <c r="D312" s="166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7"/>
      <c r="P312" s="6"/>
    </row>
    <row r="313" spans="1:64" ht="12.75">
      <c r="A313" s="88" t="s">
        <v>87</v>
      </c>
      <c r="B313" s="88" t="s">
        <v>217</v>
      </c>
      <c r="C313" s="156" t="s">
        <v>473</v>
      </c>
      <c r="D313" s="157"/>
      <c r="E313" s="158"/>
      <c r="F313" s="88" t="s">
        <v>653</v>
      </c>
      <c r="G313" s="96">
        <v>1.75</v>
      </c>
      <c r="H313" s="96">
        <v>0</v>
      </c>
      <c r="I313" s="96">
        <f>G313*AO313</f>
        <v>0</v>
      </c>
      <c r="J313" s="96">
        <f>G313*AP313</f>
        <v>0</v>
      </c>
      <c r="K313" s="96">
        <f>G313*H313</f>
        <v>0</v>
      </c>
      <c r="L313" s="96">
        <v>0.02214</v>
      </c>
      <c r="M313" s="81">
        <v>0</v>
      </c>
      <c r="N313" s="98">
        <v>0.02214</v>
      </c>
      <c r="O313" s="81">
        <f>G313*N313</f>
        <v>0.038745</v>
      </c>
      <c r="P313" s="85"/>
      <c r="Z313" s="36">
        <f>IF(AQ313="5",BJ313,0)</f>
        <v>0</v>
      </c>
      <c r="AB313" s="36">
        <f>IF(AQ313="1",BH313,0)</f>
        <v>0</v>
      </c>
      <c r="AC313" s="36">
        <f>IF(AQ313="1",BI313,0)</f>
        <v>0</v>
      </c>
      <c r="AD313" s="36">
        <f>IF(AQ313="7",BH313,0)</f>
        <v>0</v>
      </c>
      <c r="AE313" s="36">
        <f>IF(AQ313="7",BI313,0)</f>
        <v>0</v>
      </c>
      <c r="AF313" s="36">
        <f>IF(AQ313="2",BH313,0)</f>
        <v>0</v>
      </c>
      <c r="AG313" s="36">
        <f>IF(AQ313="2",BI313,0)</f>
        <v>0</v>
      </c>
      <c r="AH313" s="36">
        <f>IF(AQ313="0",BJ313,0)</f>
        <v>0</v>
      </c>
      <c r="AI313" s="34" t="s">
        <v>691</v>
      </c>
      <c r="AJ313" s="24">
        <f>IF(AN313=0,K313,0)</f>
        <v>0</v>
      </c>
      <c r="AK313" s="24">
        <f>IF(AN313=15,K313,0)</f>
        <v>0</v>
      </c>
      <c r="AL313" s="24">
        <f>IF(AN313=21,K313,0)</f>
        <v>0</v>
      </c>
      <c r="AN313" s="36">
        <v>21</v>
      </c>
      <c r="AO313" s="36">
        <f>H313*0.0388888888888889</f>
        <v>0</v>
      </c>
      <c r="AP313" s="36">
        <f>H313*(1-0.0388888888888889)</f>
        <v>0</v>
      </c>
      <c r="AQ313" s="37" t="s">
        <v>13</v>
      </c>
      <c r="AV313" s="36">
        <f>AW313+AX313</f>
        <v>0</v>
      </c>
      <c r="AW313" s="36">
        <f>G313*AO313</f>
        <v>0</v>
      </c>
      <c r="AX313" s="36">
        <f>G313*AP313</f>
        <v>0</v>
      </c>
      <c r="AY313" s="39" t="s">
        <v>706</v>
      </c>
      <c r="AZ313" s="39" t="s">
        <v>728</v>
      </c>
      <c r="BA313" s="34" t="s">
        <v>735</v>
      </c>
      <c r="BC313" s="36">
        <f>AW313+AX313</f>
        <v>0</v>
      </c>
      <c r="BD313" s="36">
        <f>H313/(100-BE313)*100</f>
        <v>0</v>
      </c>
      <c r="BE313" s="36">
        <v>0</v>
      </c>
      <c r="BF313" s="36">
        <f>O313</f>
        <v>0.038745</v>
      </c>
      <c r="BH313" s="24">
        <f>G313*AO313</f>
        <v>0</v>
      </c>
      <c r="BI313" s="24">
        <f>G313*AP313</f>
        <v>0</v>
      </c>
      <c r="BJ313" s="24">
        <f>G313*H313</f>
        <v>0</v>
      </c>
      <c r="BK313" s="24" t="s">
        <v>740</v>
      </c>
      <c r="BL313" s="36">
        <v>782</v>
      </c>
    </row>
    <row r="314" spans="1:16" ht="12.75">
      <c r="A314" s="91"/>
      <c r="B314" s="94"/>
      <c r="C314" s="93" t="s">
        <v>471</v>
      </c>
      <c r="E314" s="95" t="s">
        <v>630</v>
      </c>
      <c r="F314" s="94"/>
      <c r="G314" s="97">
        <v>1.75</v>
      </c>
      <c r="H314" s="94"/>
      <c r="I314" s="94"/>
      <c r="J314" s="94"/>
      <c r="K314" s="94"/>
      <c r="L314" s="94"/>
      <c r="M314" s="90"/>
      <c r="N314" s="99"/>
      <c r="O314" s="87"/>
      <c r="P314" s="85"/>
    </row>
    <row r="315" spans="1:16" ht="12.75">
      <c r="A315" s="6"/>
      <c r="B315" s="16" t="s">
        <v>137</v>
      </c>
      <c r="C315" s="165" t="s">
        <v>474</v>
      </c>
      <c r="D315" s="166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7"/>
      <c r="P315" s="6"/>
    </row>
    <row r="316" spans="1:47" ht="12.75">
      <c r="A316" s="4"/>
      <c r="B316" s="13" t="s">
        <v>218</v>
      </c>
      <c r="C316" s="160" t="s">
        <v>475</v>
      </c>
      <c r="D316" s="161"/>
      <c r="E316" s="161"/>
      <c r="F316" s="22" t="s">
        <v>6</v>
      </c>
      <c r="G316" s="22" t="s">
        <v>6</v>
      </c>
      <c r="H316" s="22" t="s">
        <v>6</v>
      </c>
      <c r="I316" s="43">
        <f>SUM(I317:I360)</f>
        <v>0</v>
      </c>
      <c r="J316" s="43">
        <f>SUM(J317:J360)</f>
        <v>0</v>
      </c>
      <c r="K316" s="43">
        <f>SUM(K317:K360)</f>
        <v>0</v>
      </c>
      <c r="L316" s="34"/>
      <c r="M316" s="34"/>
      <c r="N316" s="34"/>
      <c r="O316" s="46">
        <f>SUM(O317:O360)</f>
        <v>0.285413</v>
      </c>
      <c r="P316" s="6"/>
      <c r="AI316" s="34" t="s">
        <v>691</v>
      </c>
      <c r="AS316" s="43">
        <f>SUM(AJ317:AJ360)</f>
        <v>0</v>
      </c>
      <c r="AT316" s="43">
        <f>SUM(AK317:AK360)</f>
        <v>0</v>
      </c>
      <c r="AU316" s="43">
        <f>SUM(AL317:AL360)</f>
        <v>0</v>
      </c>
    </row>
    <row r="317" spans="1:64" ht="12.75">
      <c r="A317" s="88" t="s">
        <v>88</v>
      </c>
      <c r="B317" s="88" t="s">
        <v>219</v>
      </c>
      <c r="C317" s="156" t="s">
        <v>476</v>
      </c>
      <c r="D317" s="157"/>
      <c r="E317" s="158"/>
      <c r="F317" s="88" t="s">
        <v>653</v>
      </c>
      <c r="G317" s="96">
        <v>7.7</v>
      </c>
      <c r="H317" s="96">
        <v>0</v>
      </c>
      <c r="I317" s="96">
        <f>G317*AO317</f>
        <v>0</v>
      </c>
      <c r="J317" s="96">
        <f>G317*AP317</f>
        <v>0</v>
      </c>
      <c r="K317" s="96">
        <f>G317*H317</f>
        <v>0</v>
      </c>
      <c r="L317" s="96">
        <v>0</v>
      </c>
      <c r="M317" s="81">
        <v>0.01057</v>
      </c>
      <c r="N317" s="98">
        <v>0.01057</v>
      </c>
      <c r="O317" s="81">
        <f>G317*N317</f>
        <v>0.081389</v>
      </c>
      <c r="P317" s="85"/>
      <c r="Z317" s="36">
        <f>IF(AQ317="5",BJ317,0)</f>
        <v>0</v>
      </c>
      <c r="AB317" s="36">
        <f>IF(AQ317="1",BH317,0)</f>
        <v>0</v>
      </c>
      <c r="AC317" s="36">
        <f>IF(AQ317="1",BI317,0)</f>
        <v>0</v>
      </c>
      <c r="AD317" s="36">
        <f>IF(AQ317="7",BH317,0)</f>
        <v>0</v>
      </c>
      <c r="AE317" s="36">
        <f>IF(AQ317="7",BI317,0)</f>
        <v>0</v>
      </c>
      <c r="AF317" s="36">
        <f>IF(AQ317="2",BH317,0)</f>
        <v>0</v>
      </c>
      <c r="AG317" s="36">
        <f>IF(AQ317="2",BI317,0)</f>
        <v>0</v>
      </c>
      <c r="AH317" s="36">
        <f>IF(AQ317="0",BJ317,0)</f>
        <v>0</v>
      </c>
      <c r="AI317" s="34" t="s">
        <v>691</v>
      </c>
      <c r="AJ317" s="24">
        <f>IF(AN317=0,K317,0)</f>
        <v>0</v>
      </c>
      <c r="AK317" s="24">
        <f>IF(AN317=15,K317,0)</f>
        <v>0</v>
      </c>
      <c r="AL317" s="24">
        <f>IF(AN317=21,K317,0)</f>
        <v>0</v>
      </c>
      <c r="AN317" s="36">
        <v>21</v>
      </c>
      <c r="AO317" s="36">
        <f>H317*0</f>
        <v>0</v>
      </c>
      <c r="AP317" s="36">
        <f>H317*(1-0)</f>
        <v>0</v>
      </c>
      <c r="AQ317" s="37" t="s">
        <v>13</v>
      </c>
      <c r="AV317" s="36">
        <f>AW317+AX317</f>
        <v>0</v>
      </c>
      <c r="AW317" s="36">
        <f>G317*AO317</f>
        <v>0</v>
      </c>
      <c r="AX317" s="36">
        <f>G317*AP317</f>
        <v>0</v>
      </c>
      <c r="AY317" s="39" t="s">
        <v>707</v>
      </c>
      <c r="AZ317" s="39" t="s">
        <v>729</v>
      </c>
      <c r="BA317" s="34" t="s">
        <v>735</v>
      </c>
      <c r="BC317" s="36">
        <f>AW317+AX317</f>
        <v>0</v>
      </c>
      <c r="BD317" s="36">
        <f>H317/(100-BE317)*100</f>
        <v>0</v>
      </c>
      <c r="BE317" s="36">
        <v>0</v>
      </c>
      <c r="BF317" s="36">
        <f>O317</f>
        <v>0.081389</v>
      </c>
      <c r="BH317" s="24">
        <f>G317*AO317</f>
        <v>0</v>
      </c>
      <c r="BI317" s="24">
        <f>G317*AP317</f>
        <v>0</v>
      </c>
      <c r="BJ317" s="24">
        <f>G317*H317</f>
        <v>0</v>
      </c>
      <c r="BK317" s="24" t="s">
        <v>740</v>
      </c>
      <c r="BL317" s="36">
        <v>735</v>
      </c>
    </row>
    <row r="318" spans="1:16" ht="12.75">
      <c r="A318" s="100"/>
      <c r="B318" s="101"/>
      <c r="C318" s="92" t="s">
        <v>477</v>
      </c>
      <c r="E318" s="102" t="s">
        <v>626</v>
      </c>
      <c r="F318" s="101"/>
      <c r="G318" s="103">
        <v>1</v>
      </c>
      <c r="H318" s="101"/>
      <c r="I318" s="101"/>
      <c r="J318" s="101"/>
      <c r="K318" s="101"/>
      <c r="L318" s="101"/>
      <c r="M318" s="89"/>
      <c r="N318" s="104"/>
      <c r="O318" s="86"/>
      <c r="P318" s="85"/>
    </row>
    <row r="319" spans="1:16" ht="12.75">
      <c r="A319" s="100"/>
      <c r="B319" s="101"/>
      <c r="C319" s="92" t="s">
        <v>478</v>
      </c>
      <c r="E319" s="102" t="s">
        <v>631</v>
      </c>
      <c r="F319" s="101"/>
      <c r="G319" s="103">
        <v>1.2</v>
      </c>
      <c r="H319" s="101"/>
      <c r="I319" s="101"/>
      <c r="J319" s="101"/>
      <c r="K319" s="101"/>
      <c r="L319" s="101"/>
      <c r="M319" s="89"/>
      <c r="N319" s="104"/>
      <c r="O319" s="86"/>
      <c r="P319" s="85"/>
    </row>
    <row r="320" spans="1:16" ht="12.75">
      <c r="A320" s="100"/>
      <c r="B320" s="101"/>
      <c r="C320" s="92" t="s">
        <v>479</v>
      </c>
      <c r="E320" s="102" t="s">
        <v>632</v>
      </c>
      <c r="F320" s="101"/>
      <c r="G320" s="103">
        <v>2</v>
      </c>
      <c r="H320" s="101"/>
      <c r="I320" s="101"/>
      <c r="J320" s="101"/>
      <c r="K320" s="101"/>
      <c r="L320" s="101"/>
      <c r="M320" s="89"/>
      <c r="N320" s="104"/>
      <c r="O320" s="86"/>
      <c r="P320" s="85"/>
    </row>
    <row r="321" spans="1:16" ht="12.75">
      <c r="A321" s="100"/>
      <c r="B321" s="101"/>
      <c r="C321" s="92" t="s">
        <v>479</v>
      </c>
      <c r="E321" s="102" t="s">
        <v>633</v>
      </c>
      <c r="F321" s="101"/>
      <c r="G321" s="103">
        <v>2</v>
      </c>
      <c r="H321" s="101"/>
      <c r="I321" s="101"/>
      <c r="J321" s="101"/>
      <c r="K321" s="101"/>
      <c r="L321" s="101"/>
      <c r="M321" s="89"/>
      <c r="N321" s="104"/>
      <c r="O321" s="86"/>
      <c r="P321" s="85"/>
    </row>
    <row r="322" spans="1:16" ht="12.75">
      <c r="A322" s="100"/>
      <c r="B322" s="101"/>
      <c r="C322" s="92" t="s">
        <v>480</v>
      </c>
      <c r="E322" s="102" t="s">
        <v>628</v>
      </c>
      <c r="F322" s="101"/>
      <c r="G322" s="103">
        <v>1.5</v>
      </c>
      <c r="H322" s="101"/>
      <c r="I322" s="101"/>
      <c r="J322" s="101"/>
      <c r="K322" s="101"/>
      <c r="L322" s="101"/>
      <c r="M322" s="89"/>
      <c r="N322" s="104"/>
      <c r="O322" s="86"/>
      <c r="P322" s="85"/>
    </row>
    <row r="323" spans="1:64" ht="12.75">
      <c r="A323" s="88" t="s">
        <v>89</v>
      </c>
      <c r="B323" s="88" t="s">
        <v>220</v>
      </c>
      <c r="C323" s="156" t="s">
        <v>481</v>
      </c>
      <c r="D323" s="157"/>
      <c r="E323" s="158"/>
      <c r="F323" s="88" t="s">
        <v>653</v>
      </c>
      <c r="G323" s="96">
        <v>7.7</v>
      </c>
      <c r="H323" s="96">
        <v>0</v>
      </c>
      <c r="I323" s="96">
        <f>G323*AO323</f>
        <v>0</v>
      </c>
      <c r="J323" s="96">
        <f>G323*AP323</f>
        <v>0</v>
      </c>
      <c r="K323" s="96">
        <f>G323*H323</f>
        <v>0</v>
      </c>
      <c r="L323" s="96">
        <v>0.01632</v>
      </c>
      <c r="M323" s="81">
        <v>0</v>
      </c>
      <c r="N323" s="98">
        <v>0.01632</v>
      </c>
      <c r="O323" s="81">
        <f>G323*N323</f>
        <v>0.12566400000000003</v>
      </c>
      <c r="P323" s="85"/>
      <c r="Z323" s="36">
        <f>IF(AQ323="5",BJ323,0)</f>
        <v>0</v>
      </c>
      <c r="AB323" s="36">
        <f>IF(AQ323="1",BH323,0)</f>
        <v>0</v>
      </c>
      <c r="AC323" s="36">
        <f>IF(AQ323="1",BI323,0)</f>
        <v>0</v>
      </c>
      <c r="AD323" s="36">
        <f>IF(AQ323="7",BH323,0)</f>
        <v>0</v>
      </c>
      <c r="AE323" s="36">
        <f>IF(AQ323="7",BI323,0)</f>
        <v>0</v>
      </c>
      <c r="AF323" s="36">
        <f>IF(AQ323="2",BH323,0)</f>
        <v>0</v>
      </c>
      <c r="AG323" s="36">
        <f>IF(AQ323="2",BI323,0)</f>
        <v>0</v>
      </c>
      <c r="AH323" s="36">
        <f>IF(AQ323="0",BJ323,0)</f>
        <v>0</v>
      </c>
      <c r="AI323" s="34" t="s">
        <v>691</v>
      </c>
      <c r="AJ323" s="24">
        <f>IF(AN323=0,K323,0)</f>
        <v>0</v>
      </c>
      <c r="AK323" s="24">
        <f>IF(AN323=15,K323,0)</f>
        <v>0</v>
      </c>
      <c r="AL323" s="24">
        <f>IF(AN323=21,K323,0)</f>
        <v>0</v>
      </c>
      <c r="AN323" s="36">
        <v>21</v>
      </c>
      <c r="AO323" s="36">
        <f>H323*0.424614640805415</f>
        <v>0</v>
      </c>
      <c r="AP323" s="36">
        <f>H323*(1-0.424614640805415)</f>
        <v>0</v>
      </c>
      <c r="AQ323" s="37" t="s">
        <v>13</v>
      </c>
      <c r="AV323" s="36">
        <f>AW323+AX323</f>
        <v>0</v>
      </c>
      <c r="AW323" s="36">
        <f>G323*AO323</f>
        <v>0</v>
      </c>
      <c r="AX323" s="36">
        <f>G323*AP323</f>
        <v>0</v>
      </c>
      <c r="AY323" s="39" t="s">
        <v>707</v>
      </c>
      <c r="AZ323" s="39" t="s">
        <v>729</v>
      </c>
      <c r="BA323" s="34" t="s">
        <v>735</v>
      </c>
      <c r="BC323" s="36">
        <f>AW323+AX323</f>
        <v>0</v>
      </c>
      <c r="BD323" s="36">
        <f>H323/(100-BE323)*100</f>
        <v>0</v>
      </c>
      <c r="BE323" s="36">
        <v>0</v>
      </c>
      <c r="BF323" s="36">
        <f>O323</f>
        <v>0.12566400000000003</v>
      </c>
      <c r="BH323" s="24">
        <f>G323*AO323</f>
        <v>0</v>
      </c>
      <c r="BI323" s="24">
        <f>G323*AP323</f>
        <v>0</v>
      </c>
      <c r="BJ323" s="24">
        <f>G323*H323</f>
        <v>0</v>
      </c>
      <c r="BK323" s="24" t="s">
        <v>740</v>
      </c>
      <c r="BL323" s="36">
        <v>735</v>
      </c>
    </row>
    <row r="324" spans="1:16" ht="12.75">
      <c r="A324" s="100"/>
      <c r="B324" s="101"/>
      <c r="C324" s="92" t="s">
        <v>477</v>
      </c>
      <c r="E324" s="102" t="s">
        <v>626</v>
      </c>
      <c r="F324" s="101"/>
      <c r="G324" s="103">
        <v>1</v>
      </c>
      <c r="H324" s="101"/>
      <c r="I324" s="101"/>
      <c r="J324" s="101"/>
      <c r="K324" s="101"/>
      <c r="L324" s="101"/>
      <c r="M324" s="89"/>
      <c r="N324" s="104"/>
      <c r="O324" s="86"/>
      <c r="P324" s="85"/>
    </row>
    <row r="325" spans="1:16" ht="12.75">
      <c r="A325" s="100"/>
      <c r="B325" s="101"/>
      <c r="C325" s="92" t="s">
        <v>478</v>
      </c>
      <c r="E325" s="102" t="s">
        <v>631</v>
      </c>
      <c r="F325" s="101"/>
      <c r="G325" s="103">
        <v>1.2</v>
      </c>
      <c r="H325" s="101"/>
      <c r="I325" s="101"/>
      <c r="J325" s="101"/>
      <c r="K325" s="101"/>
      <c r="L325" s="101"/>
      <c r="M325" s="89"/>
      <c r="N325" s="104"/>
      <c r="O325" s="86"/>
      <c r="P325" s="85"/>
    </row>
    <row r="326" spans="1:16" ht="12.75">
      <c r="A326" s="100"/>
      <c r="B326" s="101"/>
      <c r="C326" s="92" t="s">
        <v>479</v>
      </c>
      <c r="E326" s="102" t="s">
        <v>632</v>
      </c>
      <c r="F326" s="101"/>
      <c r="G326" s="103">
        <v>2</v>
      </c>
      <c r="H326" s="101"/>
      <c r="I326" s="101"/>
      <c r="J326" s="101"/>
      <c r="K326" s="101"/>
      <c r="L326" s="101"/>
      <c r="M326" s="89"/>
      <c r="N326" s="104"/>
      <c r="O326" s="86"/>
      <c r="P326" s="85"/>
    </row>
    <row r="327" spans="1:16" ht="12.75">
      <c r="A327" s="100"/>
      <c r="B327" s="101"/>
      <c r="C327" s="92" t="s">
        <v>479</v>
      </c>
      <c r="E327" s="102" t="s">
        <v>633</v>
      </c>
      <c r="F327" s="101"/>
      <c r="G327" s="103">
        <v>2</v>
      </c>
      <c r="H327" s="101"/>
      <c r="I327" s="101"/>
      <c r="J327" s="101"/>
      <c r="K327" s="101"/>
      <c r="L327" s="101"/>
      <c r="M327" s="89"/>
      <c r="N327" s="104"/>
      <c r="O327" s="86"/>
      <c r="P327" s="85"/>
    </row>
    <row r="328" spans="1:16" ht="12.75">
      <c r="A328" s="100"/>
      <c r="B328" s="101"/>
      <c r="C328" s="92" t="s">
        <v>480</v>
      </c>
      <c r="E328" s="102" t="s">
        <v>628</v>
      </c>
      <c r="F328" s="101"/>
      <c r="G328" s="103">
        <v>1.5</v>
      </c>
      <c r="H328" s="101"/>
      <c r="I328" s="101"/>
      <c r="J328" s="101"/>
      <c r="K328" s="101"/>
      <c r="L328" s="101"/>
      <c r="M328" s="89"/>
      <c r="N328" s="104"/>
      <c r="O328" s="86"/>
      <c r="P328" s="85"/>
    </row>
    <row r="329" spans="1:64" ht="12.75">
      <c r="A329" s="88" t="s">
        <v>90</v>
      </c>
      <c r="B329" s="88" t="s">
        <v>221</v>
      </c>
      <c r="C329" s="156" t="s">
        <v>482</v>
      </c>
      <c r="D329" s="157"/>
      <c r="E329" s="158"/>
      <c r="F329" s="88" t="s">
        <v>657</v>
      </c>
      <c r="G329" s="96">
        <v>8</v>
      </c>
      <c r="H329" s="96">
        <v>0</v>
      </c>
      <c r="I329" s="96">
        <f>G329*AO329</f>
        <v>0</v>
      </c>
      <c r="J329" s="96">
        <f>G329*AP329</f>
        <v>0</v>
      </c>
      <c r="K329" s="96">
        <f>G329*H329</f>
        <v>0</v>
      </c>
      <c r="L329" s="96">
        <v>0.0006</v>
      </c>
      <c r="M329" s="81">
        <v>0</v>
      </c>
      <c r="N329" s="98">
        <v>0.0006</v>
      </c>
      <c r="O329" s="81">
        <f>G329*N329</f>
        <v>0.0048</v>
      </c>
      <c r="P329" s="85"/>
      <c r="Z329" s="36">
        <f>IF(AQ329="5",BJ329,0)</f>
        <v>0</v>
      </c>
      <c r="AB329" s="36">
        <f>IF(AQ329="1",BH329,0)</f>
        <v>0</v>
      </c>
      <c r="AC329" s="36">
        <f>IF(AQ329="1",BI329,0)</f>
        <v>0</v>
      </c>
      <c r="AD329" s="36">
        <f>IF(AQ329="7",BH329,0)</f>
        <v>0</v>
      </c>
      <c r="AE329" s="36">
        <f>IF(AQ329="7",BI329,0)</f>
        <v>0</v>
      </c>
      <c r="AF329" s="36">
        <f>IF(AQ329="2",BH329,0)</f>
        <v>0</v>
      </c>
      <c r="AG329" s="36">
        <f>IF(AQ329="2",BI329,0)</f>
        <v>0</v>
      </c>
      <c r="AH329" s="36">
        <f>IF(AQ329="0",BJ329,0)</f>
        <v>0</v>
      </c>
      <c r="AI329" s="34" t="s">
        <v>691</v>
      </c>
      <c r="AJ329" s="24">
        <f>IF(AN329=0,K329,0)</f>
        <v>0</v>
      </c>
      <c r="AK329" s="24">
        <f>IF(AN329=15,K329,0)</f>
        <v>0</v>
      </c>
      <c r="AL329" s="24">
        <f>IF(AN329=21,K329,0)</f>
        <v>0</v>
      </c>
      <c r="AN329" s="36">
        <v>21</v>
      </c>
      <c r="AO329" s="36">
        <f>H329*0.830925039196576</f>
        <v>0</v>
      </c>
      <c r="AP329" s="36">
        <f>H329*(1-0.830925039196576)</f>
        <v>0</v>
      </c>
      <c r="AQ329" s="37" t="s">
        <v>13</v>
      </c>
      <c r="AV329" s="36">
        <f>AW329+AX329</f>
        <v>0</v>
      </c>
      <c r="AW329" s="36">
        <f>G329*AO329</f>
        <v>0</v>
      </c>
      <c r="AX329" s="36">
        <f>G329*AP329</f>
        <v>0</v>
      </c>
      <c r="AY329" s="39" t="s">
        <v>707</v>
      </c>
      <c r="AZ329" s="39" t="s">
        <v>729</v>
      </c>
      <c r="BA329" s="34" t="s">
        <v>735</v>
      </c>
      <c r="BC329" s="36">
        <f>AW329+AX329</f>
        <v>0</v>
      </c>
      <c r="BD329" s="36">
        <f>H329/(100-BE329)*100</f>
        <v>0</v>
      </c>
      <c r="BE329" s="36">
        <v>0</v>
      </c>
      <c r="BF329" s="36">
        <f>O329</f>
        <v>0.0048</v>
      </c>
      <c r="BH329" s="24">
        <f>G329*AO329</f>
        <v>0</v>
      </c>
      <c r="BI329" s="24">
        <f>G329*AP329</f>
        <v>0</v>
      </c>
      <c r="BJ329" s="24">
        <f>G329*H329</f>
        <v>0</v>
      </c>
      <c r="BK329" s="24" t="s">
        <v>740</v>
      </c>
      <c r="BL329" s="36">
        <v>735</v>
      </c>
    </row>
    <row r="330" spans="1:16" ht="12.75">
      <c r="A330" s="100"/>
      <c r="B330" s="101"/>
      <c r="C330" s="92" t="s">
        <v>7</v>
      </c>
      <c r="E330" s="102" t="s">
        <v>626</v>
      </c>
      <c r="F330" s="101"/>
      <c r="G330" s="103">
        <v>1</v>
      </c>
      <c r="H330" s="101"/>
      <c r="I330" s="101"/>
      <c r="J330" s="101"/>
      <c r="K330" s="101"/>
      <c r="L330" s="101"/>
      <c r="M330" s="89"/>
      <c r="N330" s="104"/>
      <c r="O330" s="86"/>
      <c r="P330" s="85"/>
    </row>
    <row r="331" spans="1:16" ht="12.75">
      <c r="A331" s="100"/>
      <c r="B331" s="101"/>
      <c r="C331" s="92" t="s">
        <v>7</v>
      </c>
      <c r="E331" s="102" t="s">
        <v>631</v>
      </c>
      <c r="F331" s="101"/>
      <c r="G331" s="103">
        <v>1</v>
      </c>
      <c r="H331" s="101"/>
      <c r="I331" s="101"/>
      <c r="J331" s="101"/>
      <c r="K331" s="101"/>
      <c r="L331" s="101"/>
      <c r="M331" s="89"/>
      <c r="N331" s="104"/>
      <c r="O331" s="86"/>
      <c r="P331" s="85"/>
    </row>
    <row r="332" spans="1:16" ht="12.75">
      <c r="A332" s="100"/>
      <c r="B332" s="101"/>
      <c r="C332" s="92" t="s">
        <v>8</v>
      </c>
      <c r="E332" s="102" t="s">
        <v>632</v>
      </c>
      <c r="F332" s="101"/>
      <c r="G332" s="103">
        <v>2</v>
      </c>
      <c r="H332" s="101"/>
      <c r="I332" s="101"/>
      <c r="J332" s="101"/>
      <c r="K332" s="101"/>
      <c r="L332" s="101"/>
      <c r="M332" s="89"/>
      <c r="N332" s="104"/>
      <c r="O332" s="86"/>
      <c r="P332" s="85"/>
    </row>
    <row r="333" spans="1:16" ht="12.75">
      <c r="A333" s="100"/>
      <c r="B333" s="101"/>
      <c r="C333" s="92" t="s">
        <v>8</v>
      </c>
      <c r="E333" s="102" t="s">
        <v>633</v>
      </c>
      <c r="F333" s="101"/>
      <c r="G333" s="103">
        <v>2</v>
      </c>
      <c r="H333" s="101"/>
      <c r="I333" s="101"/>
      <c r="J333" s="101"/>
      <c r="K333" s="101"/>
      <c r="L333" s="101"/>
      <c r="M333" s="89"/>
      <c r="N333" s="104"/>
      <c r="O333" s="86"/>
      <c r="P333" s="85"/>
    </row>
    <row r="334" spans="1:16" ht="12.75">
      <c r="A334" s="100"/>
      <c r="B334" s="101"/>
      <c r="C334" s="92" t="s">
        <v>8</v>
      </c>
      <c r="E334" s="102" t="s">
        <v>628</v>
      </c>
      <c r="F334" s="101"/>
      <c r="G334" s="103">
        <v>2</v>
      </c>
      <c r="H334" s="101"/>
      <c r="I334" s="101"/>
      <c r="J334" s="101"/>
      <c r="K334" s="101"/>
      <c r="L334" s="101"/>
      <c r="M334" s="89"/>
      <c r="N334" s="104"/>
      <c r="O334" s="86"/>
      <c r="P334" s="85"/>
    </row>
    <row r="335" spans="1:64" ht="12.75">
      <c r="A335" s="88" t="s">
        <v>91</v>
      </c>
      <c r="B335" s="88" t="s">
        <v>222</v>
      </c>
      <c r="C335" s="156" t="s">
        <v>483</v>
      </c>
      <c r="D335" s="157"/>
      <c r="E335" s="158"/>
      <c r="F335" s="88" t="s">
        <v>654</v>
      </c>
      <c r="G335" s="96">
        <v>36</v>
      </c>
      <c r="H335" s="96">
        <v>0</v>
      </c>
      <c r="I335" s="96">
        <f>G335*AO335</f>
        <v>0</v>
      </c>
      <c r="J335" s="96">
        <f>G335*AP335</f>
        <v>0</v>
      </c>
      <c r="K335" s="96">
        <f>G335*H335</f>
        <v>0</v>
      </c>
      <c r="L335" s="96">
        <v>3E-05</v>
      </c>
      <c r="M335" s="81">
        <v>0.0011</v>
      </c>
      <c r="N335" s="98">
        <v>0.00113</v>
      </c>
      <c r="O335" s="81">
        <f>G335*N335</f>
        <v>0.040679999999999994</v>
      </c>
      <c r="P335" s="85"/>
      <c r="Z335" s="36">
        <f>IF(AQ335="5",BJ335,0)</f>
        <v>0</v>
      </c>
      <c r="AB335" s="36">
        <f>IF(AQ335="1",BH335,0)</f>
        <v>0</v>
      </c>
      <c r="AC335" s="36">
        <f>IF(AQ335="1",BI335,0)</f>
        <v>0</v>
      </c>
      <c r="AD335" s="36">
        <f>IF(AQ335="7",BH335,0)</f>
        <v>0</v>
      </c>
      <c r="AE335" s="36">
        <f>IF(AQ335="7",BI335,0)</f>
        <v>0</v>
      </c>
      <c r="AF335" s="36">
        <f>IF(AQ335="2",BH335,0)</f>
        <v>0</v>
      </c>
      <c r="AG335" s="36">
        <f>IF(AQ335="2",BI335,0)</f>
        <v>0</v>
      </c>
      <c r="AH335" s="36">
        <f>IF(AQ335="0",BJ335,0)</f>
        <v>0</v>
      </c>
      <c r="AI335" s="34" t="s">
        <v>691</v>
      </c>
      <c r="AJ335" s="24">
        <f>IF(AN335=0,K335,0)</f>
        <v>0</v>
      </c>
      <c r="AK335" s="24">
        <f>IF(AN335=15,K335,0)</f>
        <v>0</v>
      </c>
      <c r="AL335" s="24">
        <f>IF(AN335=21,K335,0)</f>
        <v>0</v>
      </c>
      <c r="AN335" s="36">
        <v>21</v>
      </c>
      <c r="AO335" s="36">
        <f>H335*0.12512315270936</f>
        <v>0</v>
      </c>
      <c r="AP335" s="36">
        <f>H335*(1-0.12512315270936)</f>
        <v>0</v>
      </c>
      <c r="AQ335" s="37" t="s">
        <v>13</v>
      </c>
      <c r="AV335" s="36">
        <f>AW335+AX335</f>
        <v>0</v>
      </c>
      <c r="AW335" s="36">
        <f>G335*AO335</f>
        <v>0</v>
      </c>
      <c r="AX335" s="36">
        <f>G335*AP335</f>
        <v>0</v>
      </c>
      <c r="AY335" s="39" t="s">
        <v>707</v>
      </c>
      <c r="AZ335" s="39" t="s">
        <v>729</v>
      </c>
      <c r="BA335" s="34" t="s">
        <v>735</v>
      </c>
      <c r="BC335" s="36">
        <f>AW335+AX335</f>
        <v>0</v>
      </c>
      <c r="BD335" s="36">
        <f>H335/(100-BE335)*100</f>
        <v>0</v>
      </c>
      <c r="BE335" s="36">
        <v>0</v>
      </c>
      <c r="BF335" s="36">
        <f>O335</f>
        <v>0.040679999999999994</v>
      </c>
      <c r="BH335" s="24">
        <f>G335*AO335</f>
        <v>0</v>
      </c>
      <c r="BI335" s="24">
        <f>G335*AP335</f>
        <v>0</v>
      </c>
      <c r="BJ335" s="24">
        <f>G335*H335</f>
        <v>0</v>
      </c>
      <c r="BK335" s="24" t="s">
        <v>740</v>
      </c>
      <c r="BL335" s="36">
        <v>735</v>
      </c>
    </row>
    <row r="336" spans="1:16" ht="12.75">
      <c r="A336" s="100"/>
      <c r="B336" s="101"/>
      <c r="C336" s="92" t="s">
        <v>484</v>
      </c>
      <c r="E336" s="102" t="s">
        <v>626</v>
      </c>
      <c r="F336" s="101"/>
      <c r="G336" s="103">
        <v>6</v>
      </c>
      <c r="H336" s="101"/>
      <c r="I336" s="101"/>
      <c r="J336" s="101"/>
      <c r="K336" s="101"/>
      <c r="L336" s="101"/>
      <c r="M336" s="89"/>
      <c r="N336" s="104"/>
      <c r="O336" s="86"/>
      <c r="P336" s="85"/>
    </row>
    <row r="337" spans="1:16" ht="12.75">
      <c r="A337" s="100"/>
      <c r="B337" s="101"/>
      <c r="C337" s="92" t="s">
        <v>484</v>
      </c>
      <c r="E337" s="102" t="s">
        <v>631</v>
      </c>
      <c r="F337" s="101"/>
      <c r="G337" s="103">
        <v>6</v>
      </c>
      <c r="H337" s="101"/>
      <c r="I337" s="101"/>
      <c r="J337" s="101"/>
      <c r="K337" s="101"/>
      <c r="L337" s="101"/>
      <c r="M337" s="89"/>
      <c r="N337" s="104"/>
      <c r="O337" s="86"/>
      <c r="P337" s="85"/>
    </row>
    <row r="338" spans="1:16" ht="12.75">
      <c r="A338" s="100"/>
      <c r="B338" s="101"/>
      <c r="C338" s="92" t="s">
        <v>485</v>
      </c>
      <c r="E338" s="102" t="s">
        <v>632</v>
      </c>
      <c r="F338" s="101"/>
      <c r="G338" s="103">
        <v>8</v>
      </c>
      <c r="H338" s="101"/>
      <c r="I338" s="101"/>
      <c r="J338" s="101"/>
      <c r="K338" s="101"/>
      <c r="L338" s="101"/>
      <c r="M338" s="89"/>
      <c r="N338" s="104"/>
      <c r="O338" s="86"/>
      <c r="P338" s="85"/>
    </row>
    <row r="339" spans="1:16" ht="12.75">
      <c r="A339" s="100"/>
      <c r="B339" s="101"/>
      <c r="C339" s="92" t="s">
        <v>485</v>
      </c>
      <c r="E339" s="102" t="s">
        <v>633</v>
      </c>
      <c r="F339" s="101"/>
      <c r="G339" s="103">
        <v>8</v>
      </c>
      <c r="H339" s="101"/>
      <c r="I339" s="101"/>
      <c r="J339" s="101"/>
      <c r="K339" s="101"/>
      <c r="L339" s="101"/>
      <c r="M339" s="89"/>
      <c r="N339" s="104"/>
      <c r="O339" s="86"/>
      <c r="P339" s="85"/>
    </row>
    <row r="340" spans="1:16" ht="12.75">
      <c r="A340" s="100"/>
      <c r="B340" s="101"/>
      <c r="C340" s="92" t="s">
        <v>485</v>
      </c>
      <c r="E340" s="102" t="s">
        <v>628</v>
      </c>
      <c r="F340" s="101"/>
      <c r="G340" s="103">
        <v>8</v>
      </c>
      <c r="H340" s="101"/>
      <c r="I340" s="101"/>
      <c r="J340" s="101"/>
      <c r="K340" s="101"/>
      <c r="L340" s="101"/>
      <c r="M340" s="89"/>
      <c r="N340" s="104"/>
      <c r="O340" s="86"/>
      <c r="P340" s="85"/>
    </row>
    <row r="341" spans="1:64" ht="12.75">
      <c r="A341" s="88" t="s">
        <v>92</v>
      </c>
      <c r="B341" s="88" t="s">
        <v>223</v>
      </c>
      <c r="C341" s="156" t="s">
        <v>486</v>
      </c>
      <c r="D341" s="157"/>
      <c r="E341" s="158"/>
      <c r="F341" s="88" t="s">
        <v>654</v>
      </c>
      <c r="G341" s="96">
        <v>36</v>
      </c>
      <c r="H341" s="96">
        <v>0</v>
      </c>
      <c r="I341" s="96">
        <f>G341*AO341</f>
        <v>0</v>
      </c>
      <c r="J341" s="96">
        <f>G341*AP341</f>
        <v>0</v>
      </c>
      <c r="K341" s="96">
        <f>G341*H341</f>
        <v>0</v>
      </c>
      <c r="L341" s="96">
        <v>0.00088</v>
      </c>
      <c r="M341" s="81">
        <v>0</v>
      </c>
      <c r="N341" s="98">
        <v>0.00088</v>
      </c>
      <c r="O341" s="81">
        <f>G341*N341</f>
        <v>0.03168</v>
      </c>
      <c r="P341" s="85"/>
      <c r="Z341" s="36">
        <f>IF(AQ341="5",BJ341,0)</f>
        <v>0</v>
      </c>
      <c r="AB341" s="36">
        <f>IF(AQ341="1",BH341,0)</f>
        <v>0</v>
      </c>
      <c r="AC341" s="36">
        <f>IF(AQ341="1",BI341,0)</f>
        <v>0</v>
      </c>
      <c r="AD341" s="36">
        <f>IF(AQ341="7",BH341,0)</f>
        <v>0</v>
      </c>
      <c r="AE341" s="36">
        <f>IF(AQ341="7",BI341,0)</f>
        <v>0</v>
      </c>
      <c r="AF341" s="36">
        <f>IF(AQ341="2",BH341,0)</f>
        <v>0</v>
      </c>
      <c r="AG341" s="36">
        <f>IF(AQ341="2",BI341,0)</f>
        <v>0</v>
      </c>
      <c r="AH341" s="36">
        <f>IF(AQ341="0",BJ341,0)</f>
        <v>0</v>
      </c>
      <c r="AI341" s="34" t="s">
        <v>691</v>
      </c>
      <c r="AJ341" s="24">
        <f>IF(AN341=0,K341,0)</f>
        <v>0</v>
      </c>
      <c r="AK341" s="24">
        <f>IF(AN341=15,K341,0)</f>
        <v>0</v>
      </c>
      <c r="AL341" s="24">
        <f>IF(AN341=21,K341,0)</f>
        <v>0</v>
      </c>
      <c r="AN341" s="36">
        <v>21</v>
      </c>
      <c r="AO341" s="36">
        <f>H341*0.588731745991151</f>
        <v>0</v>
      </c>
      <c r="AP341" s="36">
        <f>H341*(1-0.588731745991151)</f>
        <v>0</v>
      </c>
      <c r="AQ341" s="37" t="s">
        <v>13</v>
      </c>
      <c r="AV341" s="36">
        <f>AW341+AX341</f>
        <v>0</v>
      </c>
      <c r="AW341" s="36">
        <f>G341*AO341</f>
        <v>0</v>
      </c>
      <c r="AX341" s="36">
        <f>G341*AP341</f>
        <v>0</v>
      </c>
      <c r="AY341" s="39" t="s">
        <v>707</v>
      </c>
      <c r="AZ341" s="39" t="s">
        <v>729</v>
      </c>
      <c r="BA341" s="34" t="s">
        <v>735</v>
      </c>
      <c r="BC341" s="36">
        <f>AW341+AX341</f>
        <v>0</v>
      </c>
      <c r="BD341" s="36">
        <f>H341/(100-BE341)*100</f>
        <v>0</v>
      </c>
      <c r="BE341" s="36">
        <v>0</v>
      </c>
      <c r="BF341" s="36">
        <f>O341</f>
        <v>0.03168</v>
      </c>
      <c r="BH341" s="24">
        <f>G341*AO341</f>
        <v>0</v>
      </c>
      <c r="BI341" s="24">
        <f>G341*AP341</f>
        <v>0</v>
      </c>
      <c r="BJ341" s="24">
        <f>G341*H341</f>
        <v>0</v>
      </c>
      <c r="BK341" s="24" t="s">
        <v>740</v>
      </c>
      <c r="BL341" s="36">
        <v>735</v>
      </c>
    </row>
    <row r="342" spans="1:16" ht="12.75">
      <c r="A342" s="100"/>
      <c r="B342" s="101"/>
      <c r="C342" s="92" t="s">
        <v>484</v>
      </c>
      <c r="E342" s="102" t="s">
        <v>626</v>
      </c>
      <c r="F342" s="101"/>
      <c r="G342" s="103">
        <v>6</v>
      </c>
      <c r="H342" s="101"/>
      <c r="I342" s="101"/>
      <c r="J342" s="101"/>
      <c r="K342" s="101"/>
      <c r="L342" s="101"/>
      <c r="M342" s="89"/>
      <c r="N342" s="104"/>
      <c r="O342" s="86"/>
      <c r="P342" s="85"/>
    </row>
    <row r="343" spans="1:16" ht="12.75">
      <c r="A343" s="100"/>
      <c r="B343" s="101"/>
      <c r="C343" s="92" t="s">
        <v>484</v>
      </c>
      <c r="E343" s="102" t="s">
        <v>631</v>
      </c>
      <c r="F343" s="101"/>
      <c r="G343" s="103">
        <v>6</v>
      </c>
      <c r="H343" s="101"/>
      <c r="I343" s="101"/>
      <c r="J343" s="101"/>
      <c r="K343" s="101"/>
      <c r="L343" s="101"/>
      <c r="M343" s="89"/>
      <c r="N343" s="104"/>
      <c r="O343" s="86"/>
      <c r="P343" s="85"/>
    </row>
    <row r="344" spans="1:16" ht="12.75">
      <c r="A344" s="100"/>
      <c r="B344" s="101"/>
      <c r="C344" s="92" t="s">
        <v>485</v>
      </c>
      <c r="E344" s="102" t="s">
        <v>632</v>
      </c>
      <c r="F344" s="101"/>
      <c r="G344" s="103">
        <v>8</v>
      </c>
      <c r="H344" s="101"/>
      <c r="I344" s="101"/>
      <c r="J344" s="101"/>
      <c r="K344" s="101"/>
      <c r="L344" s="101"/>
      <c r="M344" s="89"/>
      <c r="N344" s="104"/>
      <c r="O344" s="86"/>
      <c r="P344" s="85"/>
    </row>
    <row r="345" spans="1:16" ht="12.75">
      <c r="A345" s="100"/>
      <c r="B345" s="101"/>
      <c r="C345" s="92" t="s">
        <v>485</v>
      </c>
      <c r="E345" s="102" t="s">
        <v>633</v>
      </c>
      <c r="F345" s="101"/>
      <c r="G345" s="103">
        <v>8</v>
      </c>
      <c r="H345" s="101"/>
      <c r="I345" s="101"/>
      <c r="J345" s="101"/>
      <c r="K345" s="101"/>
      <c r="L345" s="101"/>
      <c r="M345" s="89"/>
      <c r="N345" s="104"/>
      <c r="O345" s="86"/>
      <c r="P345" s="85"/>
    </row>
    <row r="346" spans="1:16" ht="12.75">
      <c r="A346" s="100"/>
      <c r="B346" s="101"/>
      <c r="C346" s="92" t="s">
        <v>485</v>
      </c>
      <c r="E346" s="102" t="s">
        <v>628</v>
      </c>
      <c r="F346" s="101"/>
      <c r="G346" s="103">
        <v>8</v>
      </c>
      <c r="H346" s="101"/>
      <c r="I346" s="101"/>
      <c r="J346" s="101"/>
      <c r="K346" s="101"/>
      <c r="L346" s="101"/>
      <c r="M346" s="89"/>
      <c r="N346" s="104"/>
      <c r="O346" s="86"/>
      <c r="P346" s="85"/>
    </row>
    <row r="347" spans="1:64" ht="12.75">
      <c r="A347" s="88" t="s">
        <v>93</v>
      </c>
      <c r="B347" s="88" t="s">
        <v>224</v>
      </c>
      <c r="C347" s="156" t="s">
        <v>487</v>
      </c>
      <c r="D347" s="157"/>
      <c r="E347" s="158"/>
      <c r="F347" s="88" t="s">
        <v>654</v>
      </c>
      <c r="G347" s="96">
        <v>36</v>
      </c>
      <c r="H347" s="96">
        <v>0</v>
      </c>
      <c r="I347" s="96">
        <f>G347*AO347</f>
        <v>0</v>
      </c>
      <c r="J347" s="96">
        <f>G347*AP347</f>
        <v>0</v>
      </c>
      <c r="K347" s="96">
        <f>G347*H347</f>
        <v>0</v>
      </c>
      <c r="L347" s="96">
        <v>0</v>
      </c>
      <c r="M347" s="81">
        <v>0</v>
      </c>
      <c r="N347" s="98">
        <v>0</v>
      </c>
      <c r="O347" s="81">
        <f>G347*N347</f>
        <v>0</v>
      </c>
      <c r="P347" s="85"/>
      <c r="Z347" s="36">
        <f>IF(AQ347="5",BJ347,0)</f>
        <v>0</v>
      </c>
      <c r="AB347" s="36">
        <f>IF(AQ347="1",BH347,0)</f>
        <v>0</v>
      </c>
      <c r="AC347" s="36">
        <f>IF(AQ347="1",BI347,0)</f>
        <v>0</v>
      </c>
      <c r="AD347" s="36">
        <f>IF(AQ347="7",BH347,0)</f>
        <v>0</v>
      </c>
      <c r="AE347" s="36">
        <f>IF(AQ347="7",BI347,0)</f>
        <v>0</v>
      </c>
      <c r="AF347" s="36">
        <f>IF(AQ347="2",BH347,0)</f>
        <v>0</v>
      </c>
      <c r="AG347" s="36">
        <f>IF(AQ347="2",BI347,0)</f>
        <v>0</v>
      </c>
      <c r="AH347" s="36">
        <f>IF(AQ347="0",BJ347,0)</f>
        <v>0</v>
      </c>
      <c r="AI347" s="34" t="s">
        <v>691</v>
      </c>
      <c r="AJ347" s="24">
        <f>IF(AN347=0,K347,0)</f>
        <v>0</v>
      </c>
      <c r="AK347" s="24">
        <f>IF(AN347=15,K347,0)</f>
        <v>0</v>
      </c>
      <c r="AL347" s="24">
        <f>IF(AN347=21,K347,0)</f>
        <v>0</v>
      </c>
      <c r="AN347" s="36">
        <v>21</v>
      </c>
      <c r="AO347" s="36">
        <f>H347*0.02330743618202</f>
        <v>0</v>
      </c>
      <c r="AP347" s="36">
        <f>H347*(1-0.02330743618202)</f>
        <v>0</v>
      </c>
      <c r="AQ347" s="37" t="s">
        <v>13</v>
      </c>
      <c r="AV347" s="36">
        <f>AW347+AX347</f>
        <v>0</v>
      </c>
      <c r="AW347" s="36">
        <f>G347*AO347</f>
        <v>0</v>
      </c>
      <c r="AX347" s="36">
        <f>G347*AP347</f>
        <v>0</v>
      </c>
      <c r="AY347" s="39" t="s">
        <v>707</v>
      </c>
      <c r="AZ347" s="39" t="s">
        <v>729</v>
      </c>
      <c r="BA347" s="34" t="s">
        <v>735</v>
      </c>
      <c r="BC347" s="36">
        <f>AW347+AX347</f>
        <v>0</v>
      </c>
      <c r="BD347" s="36">
        <f>H347/(100-BE347)*100</f>
        <v>0</v>
      </c>
      <c r="BE347" s="36">
        <v>0</v>
      </c>
      <c r="BF347" s="36">
        <f>O347</f>
        <v>0</v>
      </c>
      <c r="BH347" s="24">
        <f>G347*AO347</f>
        <v>0</v>
      </c>
      <c r="BI347" s="24">
        <f>G347*AP347</f>
        <v>0</v>
      </c>
      <c r="BJ347" s="24">
        <f>G347*H347</f>
        <v>0</v>
      </c>
      <c r="BK347" s="24" t="s">
        <v>740</v>
      </c>
      <c r="BL347" s="36">
        <v>735</v>
      </c>
    </row>
    <row r="348" spans="1:64" ht="12.75">
      <c r="A348" s="88" t="s">
        <v>94</v>
      </c>
      <c r="B348" s="88" t="s">
        <v>225</v>
      </c>
      <c r="C348" s="156" t="s">
        <v>488</v>
      </c>
      <c r="D348" s="157"/>
      <c r="E348" s="158"/>
      <c r="F348" s="88" t="s">
        <v>653</v>
      </c>
      <c r="G348" s="96">
        <v>7.7</v>
      </c>
      <c r="H348" s="96">
        <v>0</v>
      </c>
      <c r="I348" s="96">
        <f>G348*AO348</f>
        <v>0</v>
      </c>
      <c r="J348" s="96">
        <f>G348*AP348</f>
        <v>0</v>
      </c>
      <c r="K348" s="96">
        <f>G348*H348</f>
        <v>0</v>
      </c>
      <c r="L348" s="96">
        <v>0</v>
      </c>
      <c r="M348" s="81">
        <v>0</v>
      </c>
      <c r="N348" s="98">
        <v>0</v>
      </c>
      <c r="O348" s="81">
        <f>G348*N348</f>
        <v>0</v>
      </c>
      <c r="P348" s="85"/>
      <c r="Z348" s="36">
        <f>IF(AQ348="5",BJ348,0)</f>
        <v>0</v>
      </c>
      <c r="AB348" s="36">
        <f>IF(AQ348="1",BH348,0)</f>
        <v>0</v>
      </c>
      <c r="AC348" s="36">
        <f>IF(AQ348="1",BI348,0)</f>
        <v>0</v>
      </c>
      <c r="AD348" s="36">
        <f>IF(AQ348="7",BH348,0)</f>
        <v>0</v>
      </c>
      <c r="AE348" s="36">
        <f>IF(AQ348="7",BI348,0)</f>
        <v>0</v>
      </c>
      <c r="AF348" s="36">
        <f>IF(AQ348="2",BH348,0)</f>
        <v>0</v>
      </c>
      <c r="AG348" s="36">
        <f>IF(AQ348="2",BI348,0)</f>
        <v>0</v>
      </c>
      <c r="AH348" s="36">
        <f>IF(AQ348="0",BJ348,0)</f>
        <v>0</v>
      </c>
      <c r="AI348" s="34" t="s">
        <v>691</v>
      </c>
      <c r="AJ348" s="24">
        <f>IF(AN348=0,K348,0)</f>
        <v>0</v>
      </c>
      <c r="AK348" s="24">
        <f>IF(AN348=15,K348,0)</f>
        <v>0</v>
      </c>
      <c r="AL348" s="24">
        <f>IF(AN348=21,K348,0)</f>
        <v>0</v>
      </c>
      <c r="AN348" s="36">
        <v>21</v>
      </c>
      <c r="AO348" s="36">
        <f>H348*0.0220228302412109</f>
        <v>0</v>
      </c>
      <c r="AP348" s="36">
        <f>H348*(1-0.0220228302412109)</f>
        <v>0</v>
      </c>
      <c r="AQ348" s="37" t="s">
        <v>13</v>
      </c>
      <c r="AV348" s="36">
        <f>AW348+AX348</f>
        <v>0</v>
      </c>
      <c r="AW348" s="36">
        <f>G348*AO348</f>
        <v>0</v>
      </c>
      <c r="AX348" s="36">
        <f>G348*AP348</f>
        <v>0</v>
      </c>
      <c r="AY348" s="39" t="s">
        <v>707</v>
      </c>
      <c r="AZ348" s="39" t="s">
        <v>729</v>
      </c>
      <c r="BA348" s="34" t="s">
        <v>735</v>
      </c>
      <c r="BC348" s="36">
        <f>AW348+AX348</f>
        <v>0</v>
      </c>
      <c r="BD348" s="36">
        <f>H348/(100-BE348)*100</f>
        <v>0</v>
      </c>
      <c r="BE348" s="36">
        <v>0</v>
      </c>
      <c r="BF348" s="36">
        <f>O348</f>
        <v>0</v>
      </c>
      <c r="BH348" s="24">
        <f>G348*AO348</f>
        <v>0</v>
      </c>
      <c r="BI348" s="24">
        <f>G348*AP348</f>
        <v>0</v>
      </c>
      <c r="BJ348" s="24">
        <f>G348*H348</f>
        <v>0</v>
      </c>
      <c r="BK348" s="24" t="s">
        <v>740</v>
      </c>
      <c r="BL348" s="36">
        <v>735</v>
      </c>
    </row>
    <row r="349" spans="1:16" ht="12.75">
      <c r="A349" s="100"/>
      <c r="B349" s="101"/>
      <c r="C349" s="92" t="s">
        <v>477</v>
      </c>
      <c r="E349" s="102" t="s">
        <v>626</v>
      </c>
      <c r="F349" s="101"/>
      <c r="G349" s="103">
        <v>1</v>
      </c>
      <c r="H349" s="101"/>
      <c r="I349" s="101"/>
      <c r="J349" s="101"/>
      <c r="K349" s="101"/>
      <c r="L349" s="101"/>
      <c r="M349" s="89"/>
      <c r="N349" s="104"/>
      <c r="O349" s="86"/>
      <c r="P349" s="85"/>
    </row>
    <row r="350" spans="1:16" ht="12.75">
      <c r="A350" s="100"/>
      <c r="B350" s="101"/>
      <c r="C350" s="92" t="s">
        <v>478</v>
      </c>
      <c r="E350" s="102" t="s">
        <v>631</v>
      </c>
      <c r="F350" s="101"/>
      <c r="G350" s="103">
        <v>1.2</v>
      </c>
      <c r="H350" s="101"/>
      <c r="I350" s="101"/>
      <c r="J350" s="101"/>
      <c r="K350" s="101"/>
      <c r="L350" s="101"/>
      <c r="M350" s="89"/>
      <c r="N350" s="104"/>
      <c r="O350" s="86"/>
      <c r="P350" s="85"/>
    </row>
    <row r="351" spans="1:16" ht="12.75">
      <c r="A351" s="100"/>
      <c r="B351" s="101"/>
      <c r="C351" s="92" t="s">
        <v>479</v>
      </c>
      <c r="E351" s="102" t="s">
        <v>632</v>
      </c>
      <c r="F351" s="101"/>
      <c r="G351" s="103">
        <v>2</v>
      </c>
      <c r="H351" s="101"/>
      <c r="I351" s="101"/>
      <c r="J351" s="101"/>
      <c r="K351" s="101"/>
      <c r="L351" s="101"/>
      <c r="M351" s="89"/>
      <c r="N351" s="104"/>
      <c r="O351" s="86"/>
      <c r="P351" s="85"/>
    </row>
    <row r="352" spans="1:16" ht="12.75">
      <c r="A352" s="100"/>
      <c r="B352" s="101"/>
      <c r="C352" s="92" t="s">
        <v>479</v>
      </c>
      <c r="E352" s="102" t="s">
        <v>633</v>
      </c>
      <c r="F352" s="101"/>
      <c r="G352" s="103">
        <v>2</v>
      </c>
      <c r="H352" s="101"/>
      <c r="I352" s="101"/>
      <c r="J352" s="101"/>
      <c r="K352" s="101"/>
      <c r="L352" s="101"/>
      <c r="M352" s="89"/>
      <c r="N352" s="104"/>
      <c r="O352" s="86"/>
      <c r="P352" s="85"/>
    </row>
    <row r="353" spans="1:16" ht="12.75">
      <c r="A353" s="100"/>
      <c r="B353" s="101"/>
      <c r="C353" s="92" t="s">
        <v>480</v>
      </c>
      <c r="E353" s="102" t="s">
        <v>628</v>
      </c>
      <c r="F353" s="101"/>
      <c r="G353" s="103">
        <v>1.5</v>
      </c>
      <c r="H353" s="101"/>
      <c r="I353" s="101"/>
      <c r="J353" s="101"/>
      <c r="K353" s="101"/>
      <c r="L353" s="101"/>
      <c r="M353" s="89"/>
      <c r="N353" s="104"/>
      <c r="O353" s="86"/>
      <c r="P353" s="85"/>
    </row>
    <row r="354" spans="1:64" ht="12.75">
      <c r="A354" s="88" t="s">
        <v>95</v>
      </c>
      <c r="B354" s="88" t="s">
        <v>226</v>
      </c>
      <c r="C354" s="156" t="s">
        <v>489</v>
      </c>
      <c r="D354" s="157"/>
      <c r="E354" s="158"/>
      <c r="F354" s="88" t="s">
        <v>657</v>
      </c>
      <c r="G354" s="96">
        <v>10</v>
      </c>
      <c r="H354" s="96">
        <v>0</v>
      </c>
      <c r="I354" s="96">
        <f>G354*AO354</f>
        <v>0</v>
      </c>
      <c r="J354" s="96">
        <f>G354*AP354</f>
        <v>0</v>
      </c>
      <c r="K354" s="96">
        <f>G354*H354</f>
        <v>0</v>
      </c>
      <c r="L354" s="96">
        <v>6E-05</v>
      </c>
      <c r="M354" s="81">
        <v>0</v>
      </c>
      <c r="N354" s="98">
        <v>6E-05</v>
      </c>
      <c r="O354" s="81">
        <f>G354*N354</f>
        <v>0.0006000000000000001</v>
      </c>
      <c r="P354" s="85"/>
      <c r="Z354" s="36">
        <f>IF(AQ354="5",BJ354,0)</f>
        <v>0</v>
      </c>
      <c r="AB354" s="36">
        <f>IF(AQ354="1",BH354,0)</f>
        <v>0</v>
      </c>
      <c r="AC354" s="36">
        <f>IF(AQ354="1",BI354,0)</f>
        <v>0</v>
      </c>
      <c r="AD354" s="36">
        <f>IF(AQ354="7",BH354,0)</f>
        <v>0</v>
      </c>
      <c r="AE354" s="36">
        <f>IF(AQ354="7",BI354,0)</f>
        <v>0</v>
      </c>
      <c r="AF354" s="36">
        <f>IF(AQ354="2",BH354,0)</f>
        <v>0</v>
      </c>
      <c r="AG354" s="36">
        <f>IF(AQ354="2",BI354,0)</f>
        <v>0</v>
      </c>
      <c r="AH354" s="36">
        <f>IF(AQ354="0",BJ354,0)</f>
        <v>0</v>
      </c>
      <c r="AI354" s="34" t="s">
        <v>691</v>
      </c>
      <c r="AJ354" s="24">
        <f>IF(AN354=0,K354,0)</f>
        <v>0</v>
      </c>
      <c r="AK354" s="24">
        <f>IF(AN354=15,K354,0)</f>
        <v>0</v>
      </c>
      <c r="AL354" s="24">
        <f>IF(AN354=21,K354,0)</f>
        <v>0</v>
      </c>
      <c r="AN354" s="36">
        <v>21</v>
      </c>
      <c r="AO354" s="36">
        <f>H354*0.261516034985423</f>
        <v>0</v>
      </c>
      <c r="AP354" s="36">
        <f>H354*(1-0.261516034985423)</f>
        <v>0</v>
      </c>
      <c r="AQ354" s="37" t="s">
        <v>13</v>
      </c>
      <c r="AV354" s="36">
        <f>AW354+AX354</f>
        <v>0</v>
      </c>
      <c r="AW354" s="36">
        <f>G354*AO354</f>
        <v>0</v>
      </c>
      <c r="AX354" s="36">
        <f>G354*AP354</f>
        <v>0</v>
      </c>
      <c r="AY354" s="39" t="s">
        <v>707</v>
      </c>
      <c r="AZ354" s="39" t="s">
        <v>729</v>
      </c>
      <c r="BA354" s="34" t="s">
        <v>735</v>
      </c>
      <c r="BC354" s="36">
        <f>AW354+AX354</f>
        <v>0</v>
      </c>
      <c r="BD354" s="36">
        <f>H354/(100-BE354)*100</f>
        <v>0</v>
      </c>
      <c r="BE354" s="36">
        <v>0</v>
      </c>
      <c r="BF354" s="36">
        <f>O354</f>
        <v>0.0006000000000000001</v>
      </c>
      <c r="BH354" s="24">
        <f>G354*AO354</f>
        <v>0</v>
      </c>
      <c r="BI354" s="24">
        <f>G354*AP354</f>
        <v>0</v>
      </c>
      <c r="BJ354" s="24">
        <f>G354*H354</f>
        <v>0</v>
      </c>
      <c r="BK354" s="24" t="s">
        <v>740</v>
      </c>
      <c r="BL354" s="36">
        <v>735</v>
      </c>
    </row>
    <row r="355" spans="1:16" ht="12.75">
      <c r="A355" s="100"/>
      <c r="B355" s="101"/>
      <c r="C355" s="92" t="s">
        <v>490</v>
      </c>
      <c r="E355" s="102" t="s">
        <v>634</v>
      </c>
      <c r="F355" s="101"/>
      <c r="G355" s="103">
        <v>10</v>
      </c>
      <c r="H355" s="101"/>
      <c r="I355" s="101"/>
      <c r="J355" s="101"/>
      <c r="K355" s="101"/>
      <c r="L355" s="101"/>
      <c r="M355" s="89"/>
      <c r="N355" s="104"/>
      <c r="O355" s="86"/>
      <c r="P355" s="85"/>
    </row>
    <row r="356" spans="1:64" ht="12.75">
      <c r="A356" s="88" t="s">
        <v>96</v>
      </c>
      <c r="B356" s="88" t="s">
        <v>227</v>
      </c>
      <c r="C356" s="156" t="s">
        <v>491</v>
      </c>
      <c r="D356" s="157"/>
      <c r="E356" s="158"/>
      <c r="F356" s="88" t="s">
        <v>657</v>
      </c>
      <c r="G356" s="96">
        <v>10</v>
      </c>
      <c r="H356" s="96">
        <v>0</v>
      </c>
      <c r="I356" s="96">
        <f>G356*AO356</f>
        <v>0</v>
      </c>
      <c r="J356" s="96">
        <f>G356*AP356</f>
        <v>0</v>
      </c>
      <c r="K356" s="96">
        <f>G356*H356</f>
        <v>0</v>
      </c>
      <c r="L356" s="96">
        <v>6E-05</v>
      </c>
      <c r="M356" s="81">
        <v>0</v>
      </c>
      <c r="N356" s="98">
        <v>6E-05</v>
      </c>
      <c r="O356" s="81">
        <f>G356*N356</f>
        <v>0.0006000000000000001</v>
      </c>
      <c r="P356" s="85"/>
      <c r="Z356" s="36">
        <f>IF(AQ356="5",BJ356,0)</f>
        <v>0</v>
      </c>
      <c r="AB356" s="36">
        <f>IF(AQ356="1",BH356,0)</f>
        <v>0</v>
      </c>
      <c r="AC356" s="36">
        <f>IF(AQ356="1",BI356,0)</f>
        <v>0</v>
      </c>
      <c r="AD356" s="36">
        <f>IF(AQ356="7",BH356,0)</f>
        <v>0</v>
      </c>
      <c r="AE356" s="36">
        <f>IF(AQ356="7",BI356,0)</f>
        <v>0</v>
      </c>
      <c r="AF356" s="36">
        <f>IF(AQ356="2",BH356,0)</f>
        <v>0</v>
      </c>
      <c r="AG356" s="36">
        <f>IF(AQ356="2",BI356,0)</f>
        <v>0</v>
      </c>
      <c r="AH356" s="36">
        <f>IF(AQ356="0",BJ356,0)</f>
        <v>0</v>
      </c>
      <c r="AI356" s="34" t="s">
        <v>691</v>
      </c>
      <c r="AJ356" s="24">
        <f>IF(AN356=0,K356,0)</f>
        <v>0</v>
      </c>
      <c r="AK356" s="24">
        <f>IF(AN356=15,K356,0)</f>
        <v>0</v>
      </c>
      <c r="AL356" s="24">
        <f>IF(AN356=21,K356,0)</f>
        <v>0</v>
      </c>
      <c r="AN356" s="36">
        <v>21</v>
      </c>
      <c r="AO356" s="36">
        <f>H356*0.182451612903226</f>
        <v>0</v>
      </c>
      <c r="AP356" s="36">
        <f>H356*(1-0.182451612903226)</f>
        <v>0</v>
      </c>
      <c r="AQ356" s="37" t="s">
        <v>13</v>
      </c>
      <c r="AV356" s="36">
        <f>AW356+AX356</f>
        <v>0</v>
      </c>
      <c r="AW356" s="36">
        <f>G356*AO356</f>
        <v>0</v>
      </c>
      <c r="AX356" s="36">
        <f>G356*AP356</f>
        <v>0</v>
      </c>
      <c r="AY356" s="39" t="s">
        <v>707</v>
      </c>
      <c r="AZ356" s="39" t="s">
        <v>729</v>
      </c>
      <c r="BA356" s="34" t="s">
        <v>735</v>
      </c>
      <c r="BC356" s="36">
        <f>AW356+AX356</f>
        <v>0</v>
      </c>
      <c r="BD356" s="36">
        <f>H356/(100-BE356)*100</f>
        <v>0</v>
      </c>
      <c r="BE356" s="36">
        <v>0</v>
      </c>
      <c r="BF356" s="36">
        <f>O356</f>
        <v>0.0006000000000000001</v>
      </c>
      <c r="BH356" s="24">
        <f>G356*AO356</f>
        <v>0</v>
      </c>
      <c r="BI356" s="24">
        <f>G356*AP356</f>
        <v>0</v>
      </c>
      <c r="BJ356" s="24">
        <f>G356*H356</f>
        <v>0</v>
      </c>
      <c r="BK356" s="24" t="s">
        <v>740</v>
      </c>
      <c r="BL356" s="36">
        <v>735</v>
      </c>
    </row>
    <row r="357" spans="1:16" ht="12.75">
      <c r="A357" s="100"/>
      <c r="B357" s="101"/>
      <c r="C357" s="92" t="s">
        <v>490</v>
      </c>
      <c r="E357" s="102" t="s">
        <v>634</v>
      </c>
      <c r="F357" s="101"/>
      <c r="G357" s="103">
        <v>10</v>
      </c>
      <c r="H357" s="101"/>
      <c r="I357" s="101"/>
      <c r="J357" s="101"/>
      <c r="K357" s="101"/>
      <c r="L357" s="101"/>
      <c r="M357" s="89"/>
      <c r="N357" s="104"/>
      <c r="O357" s="86"/>
      <c r="P357" s="85"/>
    </row>
    <row r="358" spans="1:64" ht="12.75">
      <c r="A358" s="80" t="s">
        <v>97</v>
      </c>
      <c r="B358" s="80" t="s">
        <v>228</v>
      </c>
      <c r="C358" s="162" t="s">
        <v>492</v>
      </c>
      <c r="D358" s="157"/>
      <c r="E358" s="164"/>
      <c r="F358" s="80" t="s">
        <v>658</v>
      </c>
      <c r="G358" s="83">
        <v>1</v>
      </c>
      <c r="H358" s="83">
        <v>0</v>
      </c>
      <c r="I358" s="83">
        <f>G358*AO358</f>
        <v>0</v>
      </c>
      <c r="J358" s="83">
        <f>G358*AP358</f>
        <v>0</v>
      </c>
      <c r="K358" s="83">
        <f>G358*H358</f>
        <v>0</v>
      </c>
      <c r="L358" s="83">
        <v>0</v>
      </c>
      <c r="M358" s="82">
        <v>0</v>
      </c>
      <c r="N358" s="84">
        <v>0</v>
      </c>
      <c r="O358" s="82">
        <f>G358*N358</f>
        <v>0</v>
      </c>
      <c r="P358" s="85"/>
      <c r="Z358" s="36">
        <f>IF(AQ358="5",BJ358,0)</f>
        <v>0</v>
      </c>
      <c r="AB358" s="36">
        <f>IF(AQ358="1",BH358,0)</f>
        <v>0</v>
      </c>
      <c r="AC358" s="36">
        <f>IF(AQ358="1",BI358,0)</f>
        <v>0</v>
      </c>
      <c r="AD358" s="36">
        <f>IF(AQ358="7",BH358,0)</f>
        <v>0</v>
      </c>
      <c r="AE358" s="36">
        <f>IF(AQ358="7",BI358,0)</f>
        <v>0</v>
      </c>
      <c r="AF358" s="36">
        <f>IF(AQ358="2",BH358,0)</f>
        <v>0</v>
      </c>
      <c r="AG358" s="36">
        <f>IF(AQ358="2",BI358,0)</f>
        <v>0</v>
      </c>
      <c r="AH358" s="36">
        <f>IF(AQ358="0",BJ358,0)</f>
        <v>0</v>
      </c>
      <c r="AI358" s="34" t="s">
        <v>691</v>
      </c>
      <c r="AJ358" s="24">
        <f>IF(AN358=0,K358,0)</f>
        <v>0</v>
      </c>
      <c r="AK358" s="24">
        <f>IF(AN358=15,K358,0)</f>
        <v>0</v>
      </c>
      <c r="AL358" s="24">
        <f>IF(AN358=21,K358,0)</f>
        <v>0</v>
      </c>
      <c r="AN358" s="36">
        <v>21</v>
      </c>
      <c r="AO358" s="36">
        <f>H358*0</f>
        <v>0</v>
      </c>
      <c r="AP358" s="36">
        <f>H358*(1-0)</f>
        <v>0</v>
      </c>
      <c r="AQ358" s="37" t="s">
        <v>13</v>
      </c>
      <c r="AV358" s="36">
        <f>AW358+AX358</f>
        <v>0</v>
      </c>
      <c r="AW358" s="36">
        <f>G358*AO358</f>
        <v>0</v>
      </c>
      <c r="AX358" s="36">
        <f>G358*AP358</f>
        <v>0</v>
      </c>
      <c r="AY358" s="39" t="s">
        <v>707</v>
      </c>
      <c r="AZ358" s="39" t="s">
        <v>729</v>
      </c>
      <c r="BA358" s="34" t="s">
        <v>735</v>
      </c>
      <c r="BC358" s="36">
        <f>AW358+AX358</f>
        <v>0</v>
      </c>
      <c r="BD358" s="36">
        <f>H358/(100-BE358)*100</f>
        <v>0</v>
      </c>
      <c r="BE358" s="36">
        <v>0</v>
      </c>
      <c r="BF358" s="36">
        <f>O358</f>
        <v>0</v>
      </c>
      <c r="BH358" s="24">
        <f>G358*AO358</f>
        <v>0</v>
      </c>
      <c r="BI358" s="24">
        <f>G358*AP358</f>
        <v>0</v>
      </c>
      <c r="BJ358" s="24">
        <f>G358*H358</f>
        <v>0</v>
      </c>
      <c r="BK358" s="24" t="s">
        <v>740</v>
      </c>
      <c r="BL358" s="36">
        <v>735</v>
      </c>
    </row>
    <row r="359" spans="1:16" ht="25.5" customHeight="1">
      <c r="A359" s="6"/>
      <c r="B359" s="16" t="s">
        <v>137</v>
      </c>
      <c r="C359" s="165" t="s">
        <v>493</v>
      </c>
      <c r="D359" s="166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7"/>
      <c r="P359" s="6"/>
    </row>
    <row r="360" spans="1:64" ht="12.75">
      <c r="A360" s="80" t="s">
        <v>98</v>
      </c>
      <c r="B360" s="80" t="s">
        <v>229</v>
      </c>
      <c r="C360" s="162" t="s">
        <v>494</v>
      </c>
      <c r="D360" s="157"/>
      <c r="E360" s="164"/>
      <c r="F360" s="80" t="s">
        <v>656</v>
      </c>
      <c r="G360" s="83">
        <v>0.3</v>
      </c>
      <c r="H360" s="83">
        <v>0</v>
      </c>
      <c r="I360" s="83">
        <f>G360*AO360</f>
        <v>0</v>
      </c>
      <c r="J360" s="83">
        <f>G360*AP360</f>
        <v>0</v>
      </c>
      <c r="K360" s="83">
        <f>G360*H360</f>
        <v>0</v>
      </c>
      <c r="L360" s="83">
        <v>0</v>
      </c>
      <c r="M360" s="82">
        <v>0</v>
      </c>
      <c r="N360" s="84">
        <v>0</v>
      </c>
      <c r="O360" s="82">
        <f>G360*N360</f>
        <v>0</v>
      </c>
      <c r="P360" s="85"/>
      <c r="Z360" s="36">
        <f>IF(AQ360="5",BJ360,0)</f>
        <v>0</v>
      </c>
      <c r="AB360" s="36">
        <f>IF(AQ360="1",BH360,0)</f>
        <v>0</v>
      </c>
      <c r="AC360" s="36">
        <f>IF(AQ360="1",BI360,0)</f>
        <v>0</v>
      </c>
      <c r="AD360" s="36">
        <f>IF(AQ360="7",BH360,0)</f>
        <v>0</v>
      </c>
      <c r="AE360" s="36">
        <f>IF(AQ360="7",BI360,0)</f>
        <v>0</v>
      </c>
      <c r="AF360" s="36">
        <f>IF(AQ360="2",BH360,0)</f>
        <v>0</v>
      </c>
      <c r="AG360" s="36">
        <f>IF(AQ360="2",BI360,0)</f>
        <v>0</v>
      </c>
      <c r="AH360" s="36">
        <f>IF(AQ360="0",BJ360,0)</f>
        <v>0</v>
      </c>
      <c r="AI360" s="34" t="s">
        <v>691</v>
      </c>
      <c r="AJ360" s="24">
        <f>IF(AN360=0,K360,0)</f>
        <v>0</v>
      </c>
      <c r="AK360" s="24">
        <f>IF(AN360=15,K360,0)</f>
        <v>0</v>
      </c>
      <c r="AL360" s="24">
        <f>IF(AN360=21,K360,0)</f>
        <v>0</v>
      </c>
      <c r="AN360" s="36">
        <v>21</v>
      </c>
      <c r="AO360" s="36">
        <f>H360*0</f>
        <v>0</v>
      </c>
      <c r="AP360" s="36">
        <f>H360*(1-0)</f>
        <v>0</v>
      </c>
      <c r="AQ360" s="37" t="s">
        <v>13</v>
      </c>
      <c r="AV360" s="36">
        <f>AW360+AX360</f>
        <v>0</v>
      </c>
      <c r="AW360" s="36">
        <f>G360*AO360</f>
        <v>0</v>
      </c>
      <c r="AX360" s="36">
        <f>G360*AP360</f>
        <v>0</v>
      </c>
      <c r="AY360" s="39" t="s">
        <v>707</v>
      </c>
      <c r="AZ360" s="39" t="s">
        <v>729</v>
      </c>
      <c r="BA360" s="34" t="s">
        <v>735</v>
      </c>
      <c r="BC360" s="36">
        <f>AW360+AX360</f>
        <v>0</v>
      </c>
      <c r="BD360" s="36">
        <f>H360/(100-BE360)*100</f>
        <v>0</v>
      </c>
      <c r="BE360" s="36">
        <v>0</v>
      </c>
      <c r="BF360" s="36">
        <f>O360</f>
        <v>0</v>
      </c>
      <c r="BH360" s="24">
        <f>G360*AO360</f>
        <v>0</v>
      </c>
      <c r="BI360" s="24">
        <f>G360*AP360</f>
        <v>0</v>
      </c>
      <c r="BJ360" s="24">
        <f>G360*H360</f>
        <v>0</v>
      </c>
      <c r="BK360" s="24" t="s">
        <v>740</v>
      </c>
      <c r="BL360" s="36">
        <v>735</v>
      </c>
    </row>
    <row r="361" spans="1:47" ht="12.75">
      <c r="A361" s="4"/>
      <c r="B361" s="13" t="s">
        <v>230</v>
      </c>
      <c r="C361" s="160" t="s">
        <v>495</v>
      </c>
      <c r="D361" s="161"/>
      <c r="E361" s="161"/>
      <c r="F361" s="22" t="s">
        <v>6</v>
      </c>
      <c r="G361" s="22" t="s">
        <v>6</v>
      </c>
      <c r="H361" s="22" t="s">
        <v>6</v>
      </c>
      <c r="I361" s="43">
        <f>SUM(I362:I364)</f>
        <v>0</v>
      </c>
      <c r="J361" s="43">
        <f>SUM(J362:J364)</f>
        <v>0</v>
      </c>
      <c r="K361" s="43">
        <f>SUM(K362:K364)</f>
        <v>0</v>
      </c>
      <c r="L361" s="34"/>
      <c r="M361" s="34"/>
      <c r="N361" s="34"/>
      <c r="O361" s="46">
        <f>SUM(O362:O364)</f>
        <v>0.0033</v>
      </c>
      <c r="P361" s="6"/>
      <c r="AI361" s="34" t="s">
        <v>691</v>
      </c>
      <c r="AS361" s="43">
        <f>SUM(AJ362:AJ364)</f>
        <v>0</v>
      </c>
      <c r="AT361" s="43">
        <f>SUM(AK362:AK364)</f>
        <v>0</v>
      </c>
      <c r="AU361" s="43">
        <f>SUM(AL362:AL364)</f>
        <v>0</v>
      </c>
    </row>
    <row r="362" spans="1:64" ht="12.75">
      <c r="A362" s="88" t="s">
        <v>99</v>
      </c>
      <c r="B362" s="88" t="s">
        <v>231</v>
      </c>
      <c r="C362" s="156" t="s">
        <v>496</v>
      </c>
      <c r="D362" s="157"/>
      <c r="E362" s="158"/>
      <c r="F362" s="88" t="s">
        <v>654</v>
      </c>
      <c r="G362" s="96">
        <v>2</v>
      </c>
      <c r="H362" s="96">
        <v>0</v>
      </c>
      <c r="I362" s="96">
        <f>G362*AO362</f>
        <v>0</v>
      </c>
      <c r="J362" s="96">
        <f>G362*AP362</f>
        <v>0</v>
      </c>
      <c r="K362" s="96">
        <f>G362*H362</f>
        <v>0</v>
      </c>
      <c r="L362" s="96">
        <v>0.00165</v>
      </c>
      <c r="M362" s="81">
        <v>0</v>
      </c>
      <c r="N362" s="98">
        <v>0.00165</v>
      </c>
      <c r="O362" s="81">
        <f>G362*N362</f>
        <v>0.0033</v>
      </c>
      <c r="P362" s="85"/>
      <c r="Z362" s="36">
        <f>IF(AQ362="5",BJ362,0)</f>
        <v>0</v>
      </c>
      <c r="AB362" s="36">
        <f>IF(AQ362="1",BH362,0)</f>
        <v>0</v>
      </c>
      <c r="AC362" s="36">
        <f>IF(AQ362="1",BI362,0)</f>
        <v>0</v>
      </c>
      <c r="AD362" s="36">
        <f>IF(AQ362="7",BH362,0)</f>
        <v>0</v>
      </c>
      <c r="AE362" s="36">
        <f>IF(AQ362="7",BI362,0)</f>
        <v>0</v>
      </c>
      <c r="AF362" s="36">
        <f>IF(AQ362="2",BH362,0)</f>
        <v>0</v>
      </c>
      <c r="AG362" s="36">
        <f>IF(AQ362="2",BI362,0)</f>
        <v>0</v>
      </c>
      <c r="AH362" s="36">
        <f>IF(AQ362="0",BJ362,0)</f>
        <v>0</v>
      </c>
      <c r="AI362" s="34" t="s">
        <v>691</v>
      </c>
      <c r="AJ362" s="24">
        <f>IF(AN362=0,K362,0)</f>
        <v>0</v>
      </c>
      <c r="AK362" s="24">
        <f>IF(AN362=15,K362,0)</f>
        <v>0</v>
      </c>
      <c r="AL362" s="24">
        <f>IF(AN362=21,K362,0)</f>
        <v>0</v>
      </c>
      <c r="AN362" s="36">
        <v>21</v>
      </c>
      <c r="AO362" s="36">
        <f>H362*0.539210526315789</f>
        <v>0</v>
      </c>
      <c r="AP362" s="36">
        <f>H362*(1-0.539210526315789)</f>
        <v>0</v>
      </c>
      <c r="AQ362" s="37" t="s">
        <v>13</v>
      </c>
      <c r="AV362" s="36">
        <f>AW362+AX362</f>
        <v>0</v>
      </c>
      <c r="AW362" s="36">
        <f>G362*AO362</f>
        <v>0</v>
      </c>
      <c r="AX362" s="36">
        <f>G362*AP362</f>
        <v>0</v>
      </c>
      <c r="AY362" s="39" t="s">
        <v>708</v>
      </c>
      <c r="AZ362" s="39" t="s">
        <v>730</v>
      </c>
      <c r="BA362" s="34" t="s">
        <v>735</v>
      </c>
      <c r="BC362" s="36">
        <f>AW362+AX362</f>
        <v>0</v>
      </c>
      <c r="BD362" s="36">
        <f>H362/(100-BE362)*100</f>
        <v>0</v>
      </c>
      <c r="BE362" s="36">
        <v>0</v>
      </c>
      <c r="BF362" s="36">
        <f>O362</f>
        <v>0.0033</v>
      </c>
      <c r="BH362" s="24">
        <f>G362*AO362</f>
        <v>0</v>
      </c>
      <c r="BI362" s="24">
        <f>G362*AP362</f>
        <v>0</v>
      </c>
      <c r="BJ362" s="24">
        <f>G362*H362</f>
        <v>0</v>
      </c>
      <c r="BK362" s="24" t="s">
        <v>740</v>
      </c>
      <c r="BL362" s="36">
        <v>764</v>
      </c>
    </row>
    <row r="363" spans="1:16" ht="12.75">
      <c r="A363" s="100"/>
      <c r="B363" s="101"/>
      <c r="C363" s="92" t="s">
        <v>479</v>
      </c>
      <c r="E363" s="102" t="s">
        <v>635</v>
      </c>
      <c r="F363" s="101"/>
      <c r="G363" s="103">
        <v>2</v>
      </c>
      <c r="H363" s="101"/>
      <c r="I363" s="101"/>
      <c r="J363" s="101"/>
      <c r="K363" s="101"/>
      <c r="L363" s="101"/>
      <c r="M363" s="89"/>
      <c r="N363" s="104"/>
      <c r="O363" s="86"/>
      <c r="P363" s="85"/>
    </row>
    <row r="364" spans="1:64" ht="12.75">
      <c r="A364" s="80" t="s">
        <v>100</v>
      </c>
      <c r="B364" s="80" t="s">
        <v>232</v>
      </c>
      <c r="C364" s="162" t="s">
        <v>497</v>
      </c>
      <c r="D364" s="157"/>
      <c r="E364" s="164"/>
      <c r="F364" s="80" t="s">
        <v>656</v>
      </c>
      <c r="G364" s="83">
        <v>0.1</v>
      </c>
      <c r="H364" s="83">
        <v>0</v>
      </c>
      <c r="I364" s="83">
        <f>G364*AO364</f>
        <v>0</v>
      </c>
      <c r="J364" s="83">
        <f>G364*AP364</f>
        <v>0</v>
      </c>
      <c r="K364" s="83">
        <f>G364*H364</f>
        <v>0</v>
      </c>
      <c r="L364" s="83">
        <v>0</v>
      </c>
      <c r="M364" s="82">
        <v>0</v>
      </c>
      <c r="N364" s="84">
        <v>0</v>
      </c>
      <c r="O364" s="82">
        <f>G364*N364</f>
        <v>0</v>
      </c>
      <c r="P364" s="85"/>
      <c r="Z364" s="36">
        <f>IF(AQ364="5",BJ364,0)</f>
        <v>0</v>
      </c>
      <c r="AB364" s="36">
        <f>IF(AQ364="1",BH364,0)</f>
        <v>0</v>
      </c>
      <c r="AC364" s="36">
        <f>IF(AQ364="1",BI364,0)</f>
        <v>0</v>
      </c>
      <c r="AD364" s="36">
        <f>IF(AQ364="7",BH364,0)</f>
        <v>0</v>
      </c>
      <c r="AE364" s="36">
        <f>IF(AQ364="7",BI364,0)</f>
        <v>0</v>
      </c>
      <c r="AF364" s="36">
        <f>IF(AQ364="2",BH364,0)</f>
        <v>0</v>
      </c>
      <c r="AG364" s="36">
        <f>IF(AQ364="2",BI364,0)</f>
        <v>0</v>
      </c>
      <c r="AH364" s="36">
        <f>IF(AQ364="0",BJ364,0)</f>
        <v>0</v>
      </c>
      <c r="AI364" s="34" t="s">
        <v>691</v>
      </c>
      <c r="AJ364" s="24">
        <f>IF(AN364=0,K364,0)</f>
        <v>0</v>
      </c>
      <c r="AK364" s="24">
        <f>IF(AN364=15,K364,0)</f>
        <v>0</v>
      </c>
      <c r="AL364" s="24">
        <f>IF(AN364=21,K364,0)</f>
        <v>0</v>
      </c>
      <c r="AN364" s="36">
        <v>21</v>
      </c>
      <c r="AO364" s="36">
        <f>H364*0</f>
        <v>0</v>
      </c>
      <c r="AP364" s="36">
        <f>H364*(1-0)</f>
        <v>0</v>
      </c>
      <c r="AQ364" s="37" t="s">
        <v>11</v>
      </c>
      <c r="AV364" s="36">
        <f>AW364+AX364</f>
        <v>0</v>
      </c>
      <c r="AW364" s="36">
        <f>G364*AO364</f>
        <v>0</v>
      </c>
      <c r="AX364" s="36">
        <f>G364*AP364</f>
        <v>0</v>
      </c>
      <c r="AY364" s="39" t="s">
        <v>708</v>
      </c>
      <c r="AZ364" s="39" t="s">
        <v>730</v>
      </c>
      <c r="BA364" s="34" t="s">
        <v>735</v>
      </c>
      <c r="BC364" s="36">
        <f>AW364+AX364</f>
        <v>0</v>
      </c>
      <c r="BD364" s="36">
        <f>H364/(100-BE364)*100</f>
        <v>0</v>
      </c>
      <c r="BE364" s="36">
        <v>0</v>
      </c>
      <c r="BF364" s="36">
        <f>O364</f>
        <v>0</v>
      </c>
      <c r="BH364" s="24">
        <f>G364*AO364</f>
        <v>0</v>
      </c>
      <c r="BI364" s="24">
        <f>G364*AP364</f>
        <v>0</v>
      </c>
      <c r="BJ364" s="24">
        <f>G364*H364</f>
        <v>0</v>
      </c>
      <c r="BK364" s="24" t="s">
        <v>740</v>
      </c>
      <c r="BL364" s="36">
        <v>764</v>
      </c>
    </row>
    <row r="365" spans="1:47" ht="12.75">
      <c r="A365" s="4"/>
      <c r="B365" s="13" t="s">
        <v>49</v>
      </c>
      <c r="C365" s="160" t="s">
        <v>498</v>
      </c>
      <c r="D365" s="161"/>
      <c r="E365" s="161"/>
      <c r="F365" s="22" t="s">
        <v>6</v>
      </c>
      <c r="G365" s="22" t="s">
        <v>6</v>
      </c>
      <c r="H365" s="22" t="s">
        <v>6</v>
      </c>
      <c r="I365" s="43">
        <f>SUM(I366:I369)</f>
        <v>0</v>
      </c>
      <c r="J365" s="43">
        <f>SUM(J366:J369)</f>
        <v>0</v>
      </c>
      <c r="K365" s="43">
        <f>SUM(K366:K369)</f>
        <v>0</v>
      </c>
      <c r="L365" s="34"/>
      <c r="M365" s="34"/>
      <c r="N365" s="34"/>
      <c r="O365" s="46">
        <f>SUM(O366:O369)</f>
        <v>0.40810080000000004</v>
      </c>
      <c r="P365" s="6"/>
      <c r="AI365" s="34" t="s">
        <v>691</v>
      </c>
      <c r="AS365" s="43">
        <f>SUM(AJ366:AJ369)</f>
        <v>0</v>
      </c>
      <c r="AT365" s="43">
        <f>SUM(AK366:AK369)</f>
        <v>0</v>
      </c>
      <c r="AU365" s="43">
        <f>SUM(AL366:AL369)</f>
        <v>0</v>
      </c>
    </row>
    <row r="366" spans="1:64" ht="12.75">
      <c r="A366" s="88" t="s">
        <v>101</v>
      </c>
      <c r="B366" s="88" t="s">
        <v>233</v>
      </c>
      <c r="C366" s="156" t="s">
        <v>499</v>
      </c>
      <c r="D366" s="157"/>
      <c r="E366" s="158"/>
      <c r="F366" s="88" t="s">
        <v>657</v>
      </c>
      <c r="G366" s="96">
        <v>3</v>
      </c>
      <c r="H366" s="96">
        <v>0</v>
      </c>
      <c r="I366" s="96">
        <f>G366*AO366</f>
        <v>0</v>
      </c>
      <c r="J366" s="96">
        <f>G366*AP366</f>
        <v>0</v>
      </c>
      <c r="K366" s="96">
        <f>G366*H366</f>
        <v>0</v>
      </c>
      <c r="L366" s="96">
        <v>0</v>
      </c>
      <c r="M366" s="81">
        <v>0.04</v>
      </c>
      <c r="N366" s="98">
        <v>0.04</v>
      </c>
      <c r="O366" s="81">
        <f>G366*N366</f>
        <v>0.12</v>
      </c>
      <c r="P366" s="85"/>
      <c r="Z366" s="36">
        <f>IF(AQ366="5",BJ366,0)</f>
        <v>0</v>
      </c>
      <c r="AB366" s="36">
        <f>IF(AQ366="1",BH366,0)</f>
        <v>0</v>
      </c>
      <c r="AC366" s="36">
        <f>IF(AQ366="1",BI366,0)</f>
        <v>0</v>
      </c>
      <c r="AD366" s="36">
        <f>IF(AQ366="7",BH366,0)</f>
        <v>0</v>
      </c>
      <c r="AE366" s="36">
        <f>IF(AQ366="7",BI366,0)</f>
        <v>0</v>
      </c>
      <c r="AF366" s="36">
        <f>IF(AQ366="2",BH366,0)</f>
        <v>0</v>
      </c>
      <c r="AG366" s="36">
        <f>IF(AQ366="2",BI366,0)</f>
        <v>0</v>
      </c>
      <c r="AH366" s="36">
        <f>IF(AQ366="0",BJ366,0)</f>
        <v>0</v>
      </c>
      <c r="AI366" s="34" t="s">
        <v>691</v>
      </c>
      <c r="AJ366" s="24">
        <f>IF(AN366=0,K366,0)</f>
        <v>0</v>
      </c>
      <c r="AK366" s="24">
        <f>IF(AN366=15,K366,0)</f>
        <v>0</v>
      </c>
      <c r="AL366" s="24">
        <f>IF(AN366=21,K366,0)</f>
        <v>0</v>
      </c>
      <c r="AN366" s="36">
        <v>21</v>
      </c>
      <c r="AO366" s="36">
        <f>H366*0</f>
        <v>0</v>
      </c>
      <c r="AP366" s="36">
        <f>H366*(1-0)</f>
        <v>0</v>
      </c>
      <c r="AQ366" s="37" t="s">
        <v>7</v>
      </c>
      <c r="AV366" s="36">
        <f>AW366+AX366</f>
        <v>0</v>
      </c>
      <c r="AW366" s="36">
        <f>G366*AO366</f>
        <v>0</v>
      </c>
      <c r="AX366" s="36">
        <f>G366*AP366</f>
        <v>0</v>
      </c>
      <c r="AY366" s="39" t="s">
        <v>709</v>
      </c>
      <c r="AZ366" s="39" t="s">
        <v>731</v>
      </c>
      <c r="BA366" s="34" t="s">
        <v>735</v>
      </c>
      <c r="BC366" s="36">
        <f>AW366+AX366</f>
        <v>0</v>
      </c>
      <c r="BD366" s="36">
        <f>H366/(100-BE366)*100</f>
        <v>0</v>
      </c>
      <c r="BE366" s="36">
        <v>0</v>
      </c>
      <c r="BF366" s="36">
        <f>O366</f>
        <v>0.12</v>
      </c>
      <c r="BH366" s="24">
        <f>G366*AO366</f>
        <v>0</v>
      </c>
      <c r="BI366" s="24">
        <f>G366*AP366</f>
        <v>0</v>
      </c>
      <c r="BJ366" s="24">
        <f>G366*H366</f>
        <v>0</v>
      </c>
      <c r="BK366" s="24" t="s">
        <v>740</v>
      </c>
      <c r="BL366" s="36">
        <v>43</v>
      </c>
    </row>
    <row r="367" spans="1:16" ht="12.75">
      <c r="A367" s="91"/>
      <c r="B367" s="94"/>
      <c r="C367" s="93" t="s">
        <v>9</v>
      </c>
      <c r="E367" s="95" t="s">
        <v>636</v>
      </c>
      <c r="F367" s="94"/>
      <c r="G367" s="97">
        <v>3</v>
      </c>
      <c r="H367" s="94"/>
      <c r="I367" s="94"/>
      <c r="J367" s="94"/>
      <c r="K367" s="94"/>
      <c r="L367" s="94"/>
      <c r="M367" s="90"/>
      <c r="N367" s="99"/>
      <c r="O367" s="87"/>
      <c r="P367" s="85"/>
    </row>
    <row r="368" spans="1:16" ht="12.75">
      <c r="A368" s="6"/>
      <c r="B368" s="16" t="s">
        <v>137</v>
      </c>
      <c r="C368" s="165" t="s">
        <v>500</v>
      </c>
      <c r="D368" s="166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7"/>
      <c r="P368" s="6"/>
    </row>
    <row r="369" spans="1:64" ht="12.75">
      <c r="A369" s="88" t="s">
        <v>102</v>
      </c>
      <c r="B369" s="88" t="s">
        <v>234</v>
      </c>
      <c r="C369" s="156" t="s">
        <v>501</v>
      </c>
      <c r="D369" s="157"/>
      <c r="E369" s="158"/>
      <c r="F369" s="88" t="s">
        <v>655</v>
      </c>
      <c r="G369" s="96">
        <v>0.342</v>
      </c>
      <c r="H369" s="96">
        <v>0</v>
      </c>
      <c r="I369" s="96">
        <f>G369*AO369</f>
        <v>0</v>
      </c>
      <c r="J369" s="96">
        <f>G369*AP369</f>
        <v>0</v>
      </c>
      <c r="K369" s="96">
        <f>G369*H369</f>
        <v>0</v>
      </c>
      <c r="L369" s="96">
        <v>0.8424</v>
      </c>
      <c r="M369" s="81">
        <v>0</v>
      </c>
      <c r="N369" s="98">
        <v>0.8424</v>
      </c>
      <c r="O369" s="81">
        <f>G369*N369</f>
        <v>0.28810080000000005</v>
      </c>
      <c r="P369" s="85"/>
      <c r="Z369" s="36">
        <f>IF(AQ369="5",BJ369,0)</f>
        <v>0</v>
      </c>
      <c r="AB369" s="36">
        <f>IF(AQ369="1",BH369,0)</f>
        <v>0</v>
      </c>
      <c r="AC369" s="36">
        <f>IF(AQ369="1",BI369,0)</f>
        <v>0</v>
      </c>
      <c r="AD369" s="36">
        <f>IF(AQ369="7",BH369,0)</f>
        <v>0</v>
      </c>
      <c r="AE369" s="36">
        <f>IF(AQ369="7",BI369,0)</f>
        <v>0</v>
      </c>
      <c r="AF369" s="36">
        <f>IF(AQ369="2",BH369,0)</f>
        <v>0</v>
      </c>
      <c r="AG369" s="36">
        <f>IF(AQ369="2",BI369,0)</f>
        <v>0</v>
      </c>
      <c r="AH369" s="36">
        <f>IF(AQ369="0",BJ369,0)</f>
        <v>0</v>
      </c>
      <c r="AI369" s="34" t="s">
        <v>691</v>
      </c>
      <c r="AJ369" s="24">
        <f>IF(AN369=0,K369,0)</f>
        <v>0</v>
      </c>
      <c r="AK369" s="24">
        <f>IF(AN369=15,K369,0)</f>
        <v>0</v>
      </c>
      <c r="AL369" s="24">
        <f>IF(AN369=21,K369,0)</f>
        <v>0</v>
      </c>
      <c r="AN369" s="36">
        <v>21</v>
      </c>
      <c r="AO369" s="36">
        <f>H369*0.154701945525292</f>
        <v>0</v>
      </c>
      <c r="AP369" s="36">
        <f>H369*(1-0.154701945525292)</f>
        <v>0</v>
      </c>
      <c r="AQ369" s="37" t="s">
        <v>7</v>
      </c>
      <c r="AV369" s="36">
        <f>AW369+AX369</f>
        <v>0</v>
      </c>
      <c r="AW369" s="36">
        <f>G369*AO369</f>
        <v>0</v>
      </c>
      <c r="AX369" s="36">
        <f>G369*AP369</f>
        <v>0</v>
      </c>
      <c r="AY369" s="39" t="s">
        <v>709</v>
      </c>
      <c r="AZ369" s="39" t="s">
        <v>731</v>
      </c>
      <c r="BA369" s="34" t="s">
        <v>735</v>
      </c>
      <c r="BC369" s="36">
        <f>AW369+AX369</f>
        <v>0</v>
      </c>
      <c r="BD369" s="36">
        <f>H369/(100-BE369)*100</f>
        <v>0</v>
      </c>
      <c r="BE369" s="36">
        <v>0</v>
      </c>
      <c r="BF369" s="36">
        <f>O369</f>
        <v>0.28810080000000005</v>
      </c>
      <c r="BH369" s="24">
        <f>G369*AO369</f>
        <v>0</v>
      </c>
      <c r="BI369" s="24">
        <f>G369*AP369</f>
        <v>0</v>
      </c>
      <c r="BJ369" s="24">
        <f>G369*H369</f>
        <v>0</v>
      </c>
      <c r="BK369" s="24" t="s">
        <v>740</v>
      </c>
      <c r="BL369" s="36">
        <v>43</v>
      </c>
    </row>
    <row r="370" spans="1:16" ht="12.75">
      <c r="A370" s="91"/>
      <c r="B370" s="94"/>
      <c r="C370" s="93" t="s">
        <v>502</v>
      </c>
      <c r="E370" s="95" t="s">
        <v>636</v>
      </c>
      <c r="F370" s="94"/>
      <c r="G370" s="97">
        <v>0.342</v>
      </c>
      <c r="H370" s="94"/>
      <c r="I370" s="94"/>
      <c r="J370" s="94"/>
      <c r="K370" s="94"/>
      <c r="L370" s="94"/>
      <c r="M370" s="90"/>
      <c r="N370" s="99"/>
      <c r="O370" s="87"/>
      <c r="P370" s="85"/>
    </row>
    <row r="371" spans="1:16" ht="12.75">
      <c r="A371" s="6"/>
      <c r="B371" s="16" t="s">
        <v>137</v>
      </c>
      <c r="C371" s="165" t="s">
        <v>503</v>
      </c>
      <c r="D371" s="166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7"/>
      <c r="P371" s="6"/>
    </row>
    <row r="372" spans="1:47" ht="12.75">
      <c r="A372" s="4"/>
      <c r="B372" s="13" t="s">
        <v>235</v>
      </c>
      <c r="C372" s="160" t="s">
        <v>504</v>
      </c>
      <c r="D372" s="161"/>
      <c r="E372" s="161"/>
      <c r="F372" s="22" t="s">
        <v>6</v>
      </c>
      <c r="G372" s="22" t="s">
        <v>6</v>
      </c>
      <c r="H372" s="22" t="s">
        <v>6</v>
      </c>
      <c r="I372" s="43">
        <f>SUM(I373:I381)</f>
        <v>0</v>
      </c>
      <c r="J372" s="43">
        <f>SUM(J373:J381)</f>
        <v>0</v>
      </c>
      <c r="K372" s="43">
        <f>SUM(K373:K381)</f>
        <v>0</v>
      </c>
      <c r="L372" s="34"/>
      <c r="M372" s="34"/>
      <c r="N372" s="34"/>
      <c r="O372" s="46">
        <f>SUM(O373:O381)</f>
        <v>0.02856</v>
      </c>
      <c r="P372" s="6"/>
      <c r="AI372" s="34" t="s">
        <v>691</v>
      </c>
      <c r="AS372" s="43">
        <f>SUM(AJ373:AJ381)</f>
        <v>0</v>
      </c>
      <c r="AT372" s="43">
        <f>SUM(AK373:AK381)</f>
        <v>0</v>
      </c>
      <c r="AU372" s="43">
        <f>SUM(AL373:AL381)</f>
        <v>0</v>
      </c>
    </row>
    <row r="373" spans="1:64" ht="12.75">
      <c r="A373" s="88" t="s">
        <v>103</v>
      </c>
      <c r="B373" s="88" t="s">
        <v>236</v>
      </c>
      <c r="C373" s="156" t="s">
        <v>505</v>
      </c>
      <c r="D373" s="157"/>
      <c r="E373" s="158"/>
      <c r="F373" s="88" t="s">
        <v>653</v>
      </c>
      <c r="G373" s="96">
        <v>49</v>
      </c>
      <c r="H373" s="96">
        <v>0</v>
      </c>
      <c r="I373" s="96">
        <f>G373*AO373</f>
        <v>0</v>
      </c>
      <c r="J373" s="96">
        <f>G373*AP373</f>
        <v>0</v>
      </c>
      <c r="K373" s="96">
        <f>G373*H373</f>
        <v>0</v>
      </c>
      <c r="L373" s="96">
        <v>0</v>
      </c>
      <c r="M373" s="81">
        <v>0</v>
      </c>
      <c r="N373" s="98">
        <v>0</v>
      </c>
      <c r="O373" s="81">
        <f>G373*N373</f>
        <v>0</v>
      </c>
      <c r="P373" s="85"/>
      <c r="Z373" s="36">
        <f>IF(AQ373="5",BJ373,0)</f>
        <v>0</v>
      </c>
      <c r="AB373" s="36">
        <f>IF(AQ373="1",BH373,0)</f>
        <v>0</v>
      </c>
      <c r="AC373" s="36">
        <f>IF(AQ373="1",BI373,0)</f>
        <v>0</v>
      </c>
      <c r="AD373" s="36">
        <f>IF(AQ373="7",BH373,0)</f>
        <v>0</v>
      </c>
      <c r="AE373" s="36">
        <f>IF(AQ373="7",BI373,0)</f>
        <v>0</v>
      </c>
      <c r="AF373" s="36">
        <f>IF(AQ373="2",BH373,0)</f>
        <v>0</v>
      </c>
      <c r="AG373" s="36">
        <f>IF(AQ373="2",BI373,0)</f>
        <v>0</v>
      </c>
      <c r="AH373" s="36">
        <f>IF(AQ373="0",BJ373,0)</f>
        <v>0</v>
      </c>
      <c r="AI373" s="34" t="s">
        <v>691</v>
      </c>
      <c r="AJ373" s="24">
        <f>IF(AN373=0,K373,0)</f>
        <v>0</v>
      </c>
      <c r="AK373" s="24">
        <f>IF(AN373=15,K373,0)</f>
        <v>0</v>
      </c>
      <c r="AL373" s="24">
        <f>IF(AN373=21,K373,0)</f>
        <v>0</v>
      </c>
      <c r="AN373" s="36">
        <v>21</v>
      </c>
      <c r="AO373" s="36">
        <f>H373*0</f>
        <v>0</v>
      </c>
      <c r="AP373" s="36">
        <f>H373*(1-0)</f>
        <v>0</v>
      </c>
      <c r="AQ373" s="37" t="s">
        <v>13</v>
      </c>
      <c r="AV373" s="36">
        <f>AW373+AX373</f>
        <v>0</v>
      </c>
      <c r="AW373" s="36">
        <f>G373*AO373</f>
        <v>0</v>
      </c>
      <c r="AX373" s="36">
        <f>G373*AP373</f>
        <v>0</v>
      </c>
      <c r="AY373" s="39" t="s">
        <v>710</v>
      </c>
      <c r="AZ373" s="39" t="s">
        <v>728</v>
      </c>
      <c r="BA373" s="34" t="s">
        <v>735</v>
      </c>
      <c r="BC373" s="36">
        <f>AW373+AX373</f>
        <v>0</v>
      </c>
      <c r="BD373" s="36">
        <f>H373/(100-BE373)*100</f>
        <v>0</v>
      </c>
      <c r="BE373" s="36">
        <v>0</v>
      </c>
      <c r="BF373" s="36">
        <f>O373</f>
        <v>0</v>
      </c>
      <c r="BH373" s="24">
        <f>G373*AO373</f>
        <v>0</v>
      </c>
      <c r="BI373" s="24">
        <f>G373*AP373</f>
        <v>0</v>
      </c>
      <c r="BJ373" s="24">
        <f>G373*H373</f>
        <v>0</v>
      </c>
      <c r="BK373" s="24" t="s">
        <v>740</v>
      </c>
      <c r="BL373" s="36">
        <v>784</v>
      </c>
    </row>
    <row r="374" spans="1:16" ht="12.75">
      <c r="A374" s="100"/>
      <c r="B374" s="101"/>
      <c r="C374" s="92" t="s">
        <v>23</v>
      </c>
      <c r="E374" s="102" t="s">
        <v>637</v>
      </c>
      <c r="F374" s="101"/>
      <c r="G374" s="103">
        <v>17</v>
      </c>
      <c r="H374" s="101"/>
      <c r="I374" s="101"/>
      <c r="J374" s="101"/>
      <c r="K374" s="101"/>
      <c r="L374" s="101"/>
      <c r="M374" s="89"/>
      <c r="N374" s="104"/>
      <c r="O374" s="86"/>
      <c r="P374" s="85"/>
    </row>
    <row r="375" spans="1:16" ht="12.75">
      <c r="A375" s="100"/>
      <c r="B375" s="101"/>
      <c r="C375" s="92" t="s">
        <v>12</v>
      </c>
      <c r="E375" s="102" t="s">
        <v>638</v>
      </c>
      <c r="F375" s="101"/>
      <c r="G375" s="103">
        <v>6</v>
      </c>
      <c r="H375" s="101"/>
      <c r="I375" s="101"/>
      <c r="J375" s="101"/>
      <c r="K375" s="101"/>
      <c r="L375" s="101"/>
      <c r="M375" s="89"/>
      <c r="N375" s="104"/>
      <c r="O375" s="86"/>
      <c r="P375" s="85"/>
    </row>
    <row r="376" spans="1:16" ht="12.75">
      <c r="A376" s="100"/>
      <c r="B376" s="101"/>
      <c r="C376" s="92" t="s">
        <v>25</v>
      </c>
      <c r="E376" s="102" t="s">
        <v>639</v>
      </c>
      <c r="F376" s="101"/>
      <c r="G376" s="103">
        <v>19</v>
      </c>
      <c r="H376" s="101"/>
      <c r="I376" s="101"/>
      <c r="J376" s="101"/>
      <c r="K376" s="101"/>
      <c r="L376" s="101"/>
      <c r="M376" s="89"/>
      <c r="N376" s="104"/>
      <c r="O376" s="86"/>
      <c r="P376" s="85"/>
    </row>
    <row r="377" spans="1:16" ht="12.75">
      <c r="A377" s="100"/>
      <c r="B377" s="101"/>
      <c r="C377" s="92" t="s">
        <v>13</v>
      </c>
      <c r="E377" s="102" t="s">
        <v>640</v>
      </c>
      <c r="F377" s="101"/>
      <c r="G377" s="103">
        <v>7</v>
      </c>
      <c r="H377" s="101"/>
      <c r="I377" s="101"/>
      <c r="J377" s="101"/>
      <c r="K377" s="101"/>
      <c r="L377" s="101"/>
      <c r="M377" s="89"/>
      <c r="N377" s="104"/>
      <c r="O377" s="86"/>
      <c r="P377" s="85"/>
    </row>
    <row r="378" spans="1:64" ht="12.75">
      <c r="A378" s="88" t="s">
        <v>104</v>
      </c>
      <c r="B378" s="88" t="s">
        <v>237</v>
      </c>
      <c r="C378" s="156" t="s">
        <v>506</v>
      </c>
      <c r="D378" s="157"/>
      <c r="E378" s="158"/>
      <c r="F378" s="88" t="s">
        <v>653</v>
      </c>
      <c r="G378" s="96">
        <v>30</v>
      </c>
      <c r="H378" s="96">
        <v>0</v>
      </c>
      <c r="I378" s="96">
        <f>G378*AO378</f>
        <v>0</v>
      </c>
      <c r="J378" s="96">
        <f>G378*AP378</f>
        <v>0</v>
      </c>
      <c r="K378" s="96">
        <f>G378*H378</f>
        <v>0</v>
      </c>
      <c r="L378" s="96">
        <v>0</v>
      </c>
      <c r="M378" s="81">
        <v>0</v>
      </c>
      <c r="N378" s="98">
        <v>0</v>
      </c>
      <c r="O378" s="81">
        <f>G378*N378</f>
        <v>0</v>
      </c>
      <c r="P378" s="85"/>
      <c r="Z378" s="36">
        <f>IF(AQ378="5",BJ378,0)</f>
        <v>0</v>
      </c>
      <c r="AB378" s="36">
        <f>IF(AQ378="1",BH378,0)</f>
        <v>0</v>
      </c>
      <c r="AC378" s="36">
        <f>IF(AQ378="1",BI378,0)</f>
        <v>0</v>
      </c>
      <c r="AD378" s="36">
        <f>IF(AQ378="7",BH378,0)</f>
        <v>0</v>
      </c>
      <c r="AE378" s="36">
        <f>IF(AQ378="7",BI378,0)</f>
        <v>0</v>
      </c>
      <c r="AF378" s="36">
        <f>IF(AQ378="2",BH378,0)</f>
        <v>0</v>
      </c>
      <c r="AG378" s="36">
        <f>IF(AQ378="2",BI378,0)</f>
        <v>0</v>
      </c>
      <c r="AH378" s="36">
        <f>IF(AQ378="0",BJ378,0)</f>
        <v>0</v>
      </c>
      <c r="AI378" s="34" t="s">
        <v>691</v>
      </c>
      <c r="AJ378" s="24">
        <f>IF(AN378=0,K378,0)</f>
        <v>0</v>
      </c>
      <c r="AK378" s="24">
        <f>IF(AN378=15,K378,0)</f>
        <v>0</v>
      </c>
      <c r="AL378" s="24">
        <f>IF(AN378=21,K378,0)</f>
        <v>0</v>
      </c>
      <c r="AN378" s="36">
        <v>21</v>
      </c>
      <c r="AO378" s="36">
        <f>H378*0</f>
        <v>0</v>
      </c>
      <c r="AP378" s="36">
        <f>H378*(1-0)</f>
        <v>0</v>
      </c>
      <c r="AQ378" s="37" t="s">
        <v>13</v>
      </c>
      <c r="AV378" s="36">
        <f>AW378+AX378</f>
        <v>0</v>
      </c>
      <c r="AW378" s="36">
        <f>G378*AO378</f>
        <v>0</v>
      </c>
      <c r="AX378" s="36">
        <f>G378*AP378</f>
        <v>0</v>
      </c>
      <c r="AY378" s="39" t="s">
        <v>710</v>
      </c>
      <c r="AZ378" s="39" t="s">
        <v>728</v>
      </c>
      <c r="BA378" s="34" t="s">
        <v>735</v>
      </c>
      <c r="BC378" s="36">
        <f>AW378+AX378</f>
        <v>0</v>
      </c>
      <c r="BD378" s="36">
        <f>H378/(100-BE378)*100</f>
        <v>0</v>
      </c>
      <c r="BE378" s="36">
        <v>0</v>
      </c>
      <c r="BF378" s="36">
        <f>O378</f>
        <v>0</v>
      </c>
      <c r="BH378" s="24">
        <f>G378*AO378</f>
        <v>0</v>
      </c>
      <c r="BI378" s="24">
        <f>G378*AP378</f>
        <v>0</v>
      </c>
      <c r="BJ378" s="24">
        <f>G378*H378</f>
        <v>0</v>
      </c>
      <c r="BK378" s="24" t="s">
        <v>740</v>
      </c>
      <c r="BL378" s="36">
        <v>784</v>
      </c>
    </row>
    <row r="379" spans="1:16" ht="12.75">
      <c r="A379" s="100"/>
      <c r="B379" s="101"/>
      <c r="C379" s="92" t="s">
        <v>16</v>
      </c>
      <c r="E379" s="102" t="s">
        <v>641</v>
      </c>
      <c r="F379" s="101"/>
      <c r="G379" s="103">
        <v>10</v>
      </c>
      <c r="H379" s="101"/>
      <c r="I379" s="101"/>
      <c r="J379" s="101"/>
      <c r="K379" s="101"/>
      <c r="L379" s="101"/>
      <c r="M379" s="89"/>
      <c r="N379" s="104"/>
      <c r="O379" s="86"/>
      <c r="P379" s="85"/>
    </row>
    <row r="380" spans="1:16" ht="12.75">
      <c r="A380" s="100"/>
      <c r="B380" s="101"/>
      <c r="C380" s="92" t="s">
        <v>26</v>
      </c>
      <c r="E380" s="102" t="s">
        <v>642</v>
      </c>
      <c r="F380" s="101"/>
      <c r="G380" s="103">
        <v>20</v>
      </c>
      <c r="H380" s="101"/>
      <c r="I380" s="101"/>
      <c r="J380" s="101"/>
      <c r="K380" s="101"/>
      <c r="L380" s="101"/>
      <c r="M380" s="89"/>
      <c r="N380" s="104"/>
      <c r="O380" s="86"/>
      <c r="P380" s="85"/>
    </row>
    <row r="381" spans="1:64" ht="12.75">
      <c r="A381" s="88" t="s">
        <v>105</v>
      </c>
      <c r="B381" s="88" t="s">
        <v>238</v>
      </c>
      <c r="C381" s="156" t="s">
        <v>507</v>
      </c>
      <c r="D381" s="157"/>
      <c r="E381" s="158"/>
      <c r="F381" s="88" t="s">
        <v>653</v>
      </c>
      <c r="G381" s="96">
        <v>102</v>
      </c>
      <c r="H381" s="96">
        <v>0</v>
      </c>
      <c r="I381" s="96">
        <f>G381*AO381</f>
        <v>0</v>
      </c>
      <c r="J381" s="96">
        <f>G381*AP381</f>
        <v>0</v>
      </c>
      <c r="K381" s="96">
        <f>G381*H381</f>
        <v>0</v>
      </c>
      <c r="L381" s="96">
        <v>0.00028</v>
      </c>
      <c r="M381" s="81">
        <v>0</v>
      </c>
      <c r="N381" s="98">
        <v>0.00028</v>
      </c>
      <c r="O381" s="81">
        <f>G381*N381</f>
        <v>0.02856</v>
      </c>
      <c r="P381" s="85"/>
      <c r="Z381" s="36">
        <f>IF(AQ381="5",BJ381,0)</f>
        <v>0</v>
      </c>
      <c r="AB381" s="36">
        <f>IF(AQ381="1",BH381,0)</f>
        <v>0</v>
      </c>
      <c r="AC381" s="36">
        <f>IF(AQ381="1",BI381,0)</f>
        <v>0</v>
      </c>
      <c r="AD381" s="36">
        <f>IF(AQ381="7",BH381,0)</f>
        <v>0</v>
      </c>
      <c r="AE381" s="36">
        <f>IF(AQ381="7",BI381,0)</f>
        <v>0</v>
      </c>
      <c r="AF381" s="36">
        <f>IF(AQ381="2",BH381,0)</f>
        <v>0</v>
      </c>
      <c r="AG381" s="36">
        <f>IF(AQ381="2",BI381,0)</f>
        <v>0</v>
      </c>
      <c r="AH381" s="36">
        <f>IF(AQ381="0",BJ381,0)</f>
        <v>0</v>
      </c>
      <c r="AI381" s="34" t="s">
        <v>691</v>
      </c>
      <c r="AJ381" s="24">
        <f>IF(AN381=0,K381,0)</f>
        <v>0</v>
      </c>
      <c r="AK381" s="24">
        <f>IF(AN381=15,K381,0)</f>
        <v>0</v>
      </c>
      <c r="AL381" s="24">
        <f>IF(AN381=21,K381,0)</f>
        <v>0</v>
      </c>
      <c r="AN381" s="36">
        <v>21</v>
      </c>
      <c r="AO381" s="36">
        <f>H381*0.205952952472396</f>
        <v>0</v>
      </c>
      <c r="AP381" s="36">
        <f>H381*(1-0.205952952472396)</f>
        <v>0</v>
      </c>
      <c r="AQ381" s="37" t="s">
        <v>13</v>
      </c>
      <c r="AV381" s="36">
        <f>AW381+AX381</f>
        <v>0</v>
      </c>
      <c r="AW381" s="36">
        <f>G381*AO381</f>
        <v>0</v>
      </c>
      <c r="AX381" s="36">
        <f>G381*AP381</f>
        <v>0</v>
      </c>
      <c r="AY381" s="39" t="s">
        <v>710</v>
      </c>
      <c r="AZ381" s="39" t="s">
        <v>728</v>
      </c>
      <c r="BA381" s="34" t="s">
        <v>735</v>
      </c>
      <c r="BC381" s="36">
        <f>AW381+AX381</f>
        <v>0</v>
      </c>
      <c r="BD381" s="36">
        <f>H381/(100-BE381)*100</f>
        <v>0</v>
      </c>
      <c r="BE381" s="36">
        <v>0</v>
      </c>
      <c r="BF381" s="36">
        <f>O381</f>
        <v>0.02856</v>
      </c>
      <c r="BH381" s="24">
        <f>G381*AO381</f>
        <v>0</v>
      </c>
      <c r="BI381" s="24">
        <f>G381*AP381</f>
        <v>0</v>
      </c>
      <c r="BJ381" s="24">
        <f>G381*H381</f>
        <v>0</v>
      </c>
      <c r="BK381" s="24" t="s">
        <v>740</v>
      </c>
      <c r="BL381" s="36">
        <v>784</v>
      </c>
    </row>
    <row r="382" spans="1:16" ht="12.75">
      <c r="A382" s="100"/>
      <c r="B382" s="101"/>
      <c r="C382" s="92" t="s">
        <v>508</v>
      </c>
      <c r="E382" s="102" t="s">
        <v>637</v>
      </c>
      <c r="F382" s="101"/>
      <c r="G382" s="103">
        <v>7.5</v>
      </c>
      <c r="H382" s="101"/>
      <c r="I382" s="101"/>
      <c r="J382" s="101"/>
      <c r="K382" s="101"/>
      <c r="L382" s="101"/>
      <c r="M382" s="89"/>
      <c r="N382" s="104"/>
      <c r="O382" s="86"/>
      <c r="P382" s="85"/>
    </row>
    <row r="383" spans="1:16" ht="12.75">
      <c r="A383" s="100"/>
      <c r="B383" s="101"/>
      <c r="C383" s="92" t="s">
        <v>508</v>
      </c>
      <c r="E383" s="102" t="s">
        <v>638</v>
      </c>
      <c r="F383" s="101"/>
      <c r="G383" s="103">
        <v>7.5</v>
      </c>
      <c r="H383" s="101"/>
      <c r="I383" s="101"/>
      <c r="J383" s="101"/>
      <c r="K383" s="101"/>
      <c r="L383" s="101"/>
      <c r="M383" s="89"/>
      <c r="N383" s="104"/>
      <c r="O383" s="86"/>
      <c r="P383" s="85"/>
    </row>
    <row r="384" spans="1:16" ht="12.75">
      <c r="A384" s="100"/>
      <c r="B384" s="101"/>
      <c r="C384" s="92" t="s">
        <v>509</v>
      </c>
      <c r="E384" s="102" t="s">
        <v>643</v>
      </c>
      <c r="F384" s="101"/>
      <c r="G384" s="103">
        <v>18</v>
      </c>
      <c r="H384" s="101"/>
      <c r="I384" s="101"/>
      <c r="J384" s="101"/>
      <c r="K384" s="101"/>
      <c r="L384" s="101"/>
      <c r="M384" s="89"/>
      <c r="N384" s="104"/>
      <c r="O384" s="86"/>
      <c r="P384" s="85"/>
    </row>
    <row r="385" spans="1:16" ht="12.75">
      <c r="A385" s="100"/>
      <c r="B385" s="101"/>
      <c r="C385" s="92" t="s">
        <v>510</v>
      </c>
      <c r="E385" s="102" t="s">
        <v>644</v>
      </c>
      <c r="F385" s="101"/>
      <c r="G385" s="103">
        <v>54</v>
      </c>
      <c r="H385" s="101"/>
      <c r="I385" s="101"/>
      <c r="J385" s="101"/>
      <c r="K385" s="101"/>
      <c r="L385" s="101"/>
      <c r="M385" s="89"/>
      <c r="N385" s="104"/>
      <c r="O385" s="86"/>
      <c r="P385" s="85"/>
    </row>
    <row r="386" spans="1:16" ht="12.75">
      <c r="A386" s="91"/>
      <c r="B386" s="94"/>
      <c r="C386" s="93" t="s">
        <v>511</v>
      </c>
      <c r="E386" s="95" t="s">
        <v>640</v>
      </c>
      <c r="F386" s="94"/>
      <c r="G386" s="97">
        <v>15</v>
      </c>
      <c r="H386" s="94"/>
      <c r="I386" s="94"/>
      <c r="J386" s="94"/>
      <c r="K386" s="94"/>
      <c r="L386" s="94"/>
      <c r="M386" s="90"/>
      <c r="N386" s="99"/>
      <c r="O386" s="87"/>
      <c r="P386" s="85"/>
    </row>
    <row r="387" spans="1:47" ht="12.75">
      <c r="A387" s="4"/>
      <c r="B387" s="13" t="s">
        <v>93</v>
      </c>
      <c r="C387" s="160" t="s">
        <v>512</v>
      </c>
      <c r="D387" s="161"/>
      <c r="E387" s="161"/>
      <c r="F387" s="22" t="s">
        <v>6</v>
      </c>
      <c r="G387" s="22" t="s">
        <v>6</v>
      </c>
      <c r="H387" s="22" t="s">
        <v>6</v>
      </c>
      <c r="I387" s="43">
        <f>SUM(I388:I406)</f>
        <v>0</v>
      </c>
      <c r="J387" s="43">
        <f>SUM(J388:J406)</f>
        <v>0</v>
      </c>
      <c r="K387" s="43">
        <f>SUM(K388:K406)</f>
        <v>0</v>
      </c>
      <c r="L387" s="34"/>
      <c r="M387" s="34"/>
      <c r="N387" s="34"/>
      <c r="O387" s="46">
        <f>SUM(O388:O406)</f>
        <v>0.105378</v>
      </c>
      <c r="P387" s="6"/>
      <c r="AI387" s="34" t="s">
        <v>691</v>
      </c>
      <c r="AS387" s="43">
        <f>SUM(AJ388:AJ406)</f>
        <v>0</v>
      </c>
      <c r="AT387" s="43">
        <f>SUM(AK388:AK406)</f>
        <v>0</v>
      </c>
      <c r="AU387" s="43">
        <f>SUM(AL388:AL406)</f>
        <v>0</v>
      </c>
    </row>
    <row r="388" spans="1:64" ht="12.75">
      <c r="A388" s="88" t="s">
        <v>106</v>
      </c>
      <c r="B388" s="88" t="s">
        <v>239</v>
      </c>
      <c r="C388" s="156" t="s">
        <v>513</v>
      </c>
      <c r="D388" s="157"/>
      <c r="E388" s="158"/>
      <c r="F388" s="88" t="s">
        <v>657</v>
      </c>
      <c r="G388" s="96">
        <v>1</v>
      </c>
      <c r="H388" s="96">
        <v>0</v>
      </c>
      <c r="I388" s="96">
        <f>G388*AO388</f>
        <v>0</v>
      </c>
      <c r="J388" s="96">
        <f>G388*AP388</f>
        <v>0</v>
      </c>
      <c r="K388" s="96">
        <f>G388*H388</f>
        <v>0</v>
      </c>
      <c r="L388" s="96">
        <v>0.00034</v>
      </c>
      <c r="M388" s="81">
        <v>0.034</v>
      </c>
      <c r="N388" s="98">
        <v>0.03434</v>
      </c>
      <c r="O388" s="81">
        <f>G388*N388</f>
        <v>0.03434</v>
      </c>
      <c r="P388" s="85"/>
      <c r="Z388" s="36">
        <f>IF(AQ388="5",BJ388,0)</f>
        <v>0</v>
      </c>
      <c r="AB388" s="36">
        <f>IF(AQ388="1",BH388,0)</f>
        <v>0</v>
      </c>
      <c r="AC388" s="36">
        <f>IF(AQ388="1",BI388,0)</f>
        <v>0</v>
      </c>
      <c r="AD388" s="36">
        <f>IF(AQ388="7",BH388,0)</f>
        <v>0</v>
      </c>
      <c r="AE388" s="36">
        <f>IF(AQ388="7",BI388,0)</f>
        <v>0</v>
      </c>
      <c r="AF388" s="36">
        <f>IF(AQ388="2",BH388,0)</f>
        <v>0</v>
      </c>
      <c r="AG388" s="36">
        <f>IF(AQ388="2",BI388,0)</f>
        <v>0</v>
      </c>
      <c r="AH388" s="36">
        <f>IF(AQ388="0",BJ388,0)</f>
        <v>0</v>
      </c>
      <c r="AI388" s="34" t="s">
        <v>691</v>
      </c>
      <c r="AJ388" s="24">
        <f>IF(AN388=0,K388,0)</f>
        <v>0</v>
      </c>
      <c r="AK388" s="24">
        <f>IF(AN388=15,K388,0)</f>
        <v>0</v>
      </c>
      <c r="AL388" s="24">
        <f>IF(AN388=21,K388,0)</f>
        <v>0</v>
      </c>
      <c r="AN388" s="36">
        <v>21</v>
      </c>
      <c r="AO388" s="36">
        <f>H388*0.0206434316353887</f>
        <v>0</v>
      </c>
      <c r="AP388" s="36">
        <f>H388*(1-0.0206434316353887)</f>
        <v>0</v>
      </c>
      <c r="AQ388" s="37" t="s">
        <v>7</v>
      </c>
      <c r="AV388" s="36">
        <f>AW388+AX388</f>
        <v>0</v>
      </c>
      <c r="AW388" s="36">
        <f>G388*AO388</f>
        <v>0</v>
      </c>
      <c r="AX388" s="36">
        <f>G388*AP388</f>
        <v>0</v>
      </c>
      <c r="AY388" s="39" t="s">
        <v>711</v>
      </c>
      <c r="AZ388" s="39" t="s">
        <v>732</v>
      </c>
      <c r="BA388" s="34" t="s">
        <v>735</v>
      </c>
      <c r="BC388" s="36">
        <f>AW388+AX388</f>
        <v>0</v>
      </c>
      <c r="BD388" s="36">
        <f>H388/(100-BE388)*100</f>
        <v>0</v>
      </c>
      <c r="BE388" s="36">
        <v>0</v>
      </c>
      <c r="BF388" s="36">
        <f>O388</f>
        <v>0.03434</v>
      </c>
      <c r="BH388" s="24">
        <f>G388*AO388</f>
        <v>0</v>
      </c>
      <c r="BI388" s="24">
        <f>G388*AP388</f>
        <v>0</v>
      </c>
      <c r="BJ388" s="24">
        <f>G388*H388</f>
        <v>0</v>
      </c>
      <c r="BK388" s="24" t="s">
        <v>740</v>
      </c>
      <c r="BL388" s="36">
        <v>87</v>
      </c>
    </row>
    <row r="389" spans="1:16" ht="12.75">
      <c r="A389" s="100"/>
      <c r="B389" s="101"/>
      <c r="C389" s="92" t="s">
        <v>7</v>
      </c>
      <c r="E389" s="102" t="s">
        <v>645</v>
      </c>
      <c r="F389" s="101"/>
      <c r="G389" s="103">
        <v>1</v>
      </c>
      <c r="H389" s="101"/>
      <c r="I389" s="101"/>
      <c r="J389" s="101"/>
      <c r="K389" s="101"/>
      <c r="L389" s="101"/>
      <c r="M389" s="89"/>
      <c r="N389" s="104"/>
      <c r="O389" s="86"/>
      <c r="P389" s="85"/>
    </row>
    <row r="390" spans="1:64" ht="12.75">
      <c r="A390" s="88" t="s">
        <v>107</v>
      </c>
      <c r="B390" s="88" t="s">
        <v>240</v>
      </c>
      <c r="C390" s="156" t="s">
        <v>514</v>
      </c>
      <c r="D390" s="157"/>
      <c r="E390" s="158"/>
      <c r="F390" s="88" t="s">
        <v>654</v>
      </c>
      <c r="G390" s="96">
        <v>51</v>
      </c>
      <c r="H390" s="96">
        <v>0</v>
      </c>
      <c r="I390" s="96">
        <f>G390*AO390</f>
        <v>0</v>
      </c>
      <c r="J390" s="96">
        <f>G390*AP390</f>
        <v>0</v>
      </c>
      <c r="K390" s="96">
        <f>G390*H390</f>
        <v>0</v>
      </c>
      <c r="L390" s="96">
        <v>0</v>
      </c>
      <c r="M390" s="81">
        <v>0</v>
      </c>
      <c r="N390" s="98">
        <v>0</v>
      </c>
      <c r="O390" s="81">
        <f>G390*N390</f>
        <v>0</v>
      </c>
      <c r="P390" s="85"/>
      <c r="Z390" s="36">
        <f>IF(AQ390="5",BJ390,0)</f>
        <v>0</v>
      </c>
      <c r="AB390" s="36">
        <f>IF(AQ390="1",BH390,0)</f>
        <v>0</v>
      </c>
      <c r="AC390" s="36">
        <f>IF(AQ390="1",BI390,0)</f>
        <v>0</v>
      </c>
      <c r="AD390" s="36">
        <f>IF(AQ390="7",BH390,0)</f>
        <v>0</v>
      </c>
      <c r="AE390" s="36">
        <f>IF(AQ390="7",BI390,0)</f>
        <v>0</v>
      </c>
      <c r="AF390" s="36">
        <f>IF(AQ390="2",BH390,0)</f>
        <v>0</v>
      </c>
      <c r="AG390" s="36">
        <f>IF(AQ390="2",BI390,0)</f>
        <v>0</v>
      </c>
      <c r="AH390" s="36">
        <f>IF(AQ390="0",BJ390,0)</f>
        <v>0</v>
      </c>
      <c r="AI390" s="34" t="s">
        <v>691</v>
      </c>
      <c r="AJ390" s="24">
        <f>IF(AN390=0,K390,0)</f>
        <v>0</v>
      </c>
      <c r="AK390" s="24">
        <f>IF(AN390=15,K390,0)</f>
        <v>0</v>
      </c>
      <c r="AL390" s="24">
        <f>IF(AN390=21,K390,0)</f>
        <v>0</v>
      </c>
      <c r="AN390" s="36">
        <v>21</v>
      </c>
      <c r="AO390" s="36">
        <f>H390*0</f>
        <v>0</v>
      </c>
      <c r="AP390" s="36">
        <f>H390*(1-0)</f>
        <v>0</v>
      </c>
      <c r="AQ390" s="37" t="s">
        <v>7</v>
      </c>
      <c r="AV390" s="36">
        <f>AW390+AX390</f>
        <v>0</v>
      </c>
      <c r="AW390" s="36">
        <f>G390*AO390</f>
        <v>0</v>
      </c>
      <c r="AX390" s="36">
        <f>G390*AP390</f>
        <v>0</v>
      </c>
      <c r="AY390" s="39" t="s">
        <v>711</v>
      </c>
      <c r="AZ390" s="39" t="s">
        <v>732</v>
      </c>
      <c r="BA390" s="34" t="s">
        <v>735</v>
      </c>
      <c r="BC390" s="36">
        <f>AW390+AX390</f>
        <v>0</v>
      </c>
      <c r="BD390" s="36">
        <f>H390/(100-BE390)*100</f>
        <v>0</v>
      </c>
      <c r="BE390" s="36">
        <v>0</v>
      </c>
      <c r="BF390" s="36">
        <f>O390</f>
        <v>0</v>
      </c>
      <c r="BH390" s="24">
        <f>G390*AO390</f>
        <v>0</v>
      </c>
      <c r="BI390" s="24">
        <f>G390*AP390</f>
        <v>0</v>
      </c>
      <c r="BJ390" s="24">
        <f>G390*H390</f>
        <v>0</v>
      </c>
      <c r="BK390" s="24" t="s">
        <v>740</v>
      </c>
      <c r="BL390" s="36">
        <v>87</v>
      </c>
    </row>
    <row r="391" spans="1:16" ht="12.75">
      <c r="A391" s="100"/>
      <c r="B391" s="101"/>
      <c r="C391" s="92" t="s">
        <v>45</v>
      </c>
      <c r="E391" s="102" t="s">
        <v>646</v>
      </c>
      <c r="F391" s="101"/>
      <c r="G391" s="103">
        <v>39</v>
      </c>
      <c r="H391" s="101"/>
      <c r="I391" s="101"/>
      <c r="J391" s="101"/>
      <c r="K391" s="101"/>
      <c r="L391" s="101"/>
      <c r="M391" s="89"/>
      <c r="N391" s="104"/>
      <c r="O391" s="86"/>
      <c r="P391" s="85"/>
    </row>
    <row r="392" spans="1:16" ht="12.75">
      <c r="A392" s="100"/>
      <c r="B392" s="101"/>
      <c r="C392" s="92" t="s">
        <v>18</v>
      </c>
      <c r="E392" s="102" t="s">
        <v>647</v>
      </c>
      <c r="F392" s="101"/>
      <c r="G392" s="103">
        <v>12</v>
      </c>
      <c r="H392" s="101"/>
      <c r="I392" s="101"/>
      <c r="J392" s="101"/>
      <c r="K392" s="101"/>
      <c r="L392" s="101"/>
      <c r="M392" s="89"/>
      <c r="N392" s="104"/>
      <c r="O392" s="86"/>
      <c r="P392" s="85"/>
    </row>
    <row r="393" spans="1:64" ht="12.75">
      <c r="A393" s="106" t="s">
        <v>108</v>
      </c>
      <c r="B393" s="106" t="s">
        <v>241</v>
      </c>
      <c r="C393" s="171" t="s">
        <v>515</v>
      </c>
      <c r="D393" s="172"/>
      <c r="E393" s="173"/>
      <c r="F393" s="106" t="s">
        <v>654</v>
      </c>
      <c r="G393" s="107">
        <v>56.1</v>
      </c>
      <c r="H393" s="107">
        <v>0</v>
      </c>
      <c r="I393" s="107">
        <f>G393*AO393</f>
        <v>0</v>
      </c>
      <c r="J393" s="107">
        <f>G393*AP393</f>
        <v>0</v>
      </c>
      <c r="K393" s="107">
        <f>G393*H393</f>
        <v>0</v>
      </c>
      <c r="L393" s="107">
        <v>0.00048</v>
      </c>
      <c r="M393" s="105">
        <v>0</v>
      </c>
      <c r="N393" s="108">
        <v>0.00048</v>
      </c>
      <c r="O393" s="105">
        <f>G393*N393</f>
        <v>0.026928</v>
      </c>
      <c r="P393" s="85"/>
      <c r="Z393" s="36">
        <f>IF(AQ393="5",BJ393,0)</f>
        <v>0</v>
      </c>
      <c r="AB393" s="36">
        <f>IF(AQ393="1",BH393,0)</f>
        <v>0</v>
      </c>
      <c r="AC393" s="36">
        <f>IF(AQ393="1",BI393,0)</f>
        <v>0</v>
      </c>
      <c r="AD393" s="36">
        <f>IF(AQ393="7",BH393,0)</f>
        <v>0</v>
      </c>
      <c r="AE393" s="36">
        <f>IF(AQ393="7",BI393,0)</f>
        <v>0</v>
      </c>
      <c r="AF393" s="36">
        <f>IF(AQ393="2",BH393,0)</f>
        <v>0</v>
      </c>
      <c r="AG393" s="36">
        <f>IF(AQ393="2",BI393,0)</f>
        <v>0</v>
      </c>
      <c r="AH393" s="36">
        <f>IF(AQ393="0",BJ393,0)</f>
        <v>0</v>
      </c>
      <c r="AI393" s="34" t="s">
        <v>691</v>
      </c>
      <c r="AJ393" s="26">
        <f>IF(AN393=0,K393,0)</f>
        <v>0</v>
      </c>
      <c r="AK393" s="26">
        <f>IF(AN393=15,K393,0)</f>
        <v>0</v>
      </c>
      <c r="AL393" s="26">
        <f>IF(AN393=21,K393,0)</f>
        <v>0</v>
      </c>
      <c r="AN393" s="36">
        <v>21</v>
      </c>
      <c r="AO393" s="36">
        <f>H393*1</f>
        <v>0</v>
      </c>
      <c r="AP393" s="36">
        <f>H393*(1-1)</f>
        <v>0</v>
      </c>
      <c r="AQ393" s="38" t="s">
        <v>7</v>
      </c>
      <c r="AV393" s="36">
        <f>AW393+AX393</f>
        <v>0</v>
      </c>
      <c r="AW393" s="36">
        <f>G393*AO393</f>
        <v>0</v>
      </c>
      <c r="AX393" s="36">
        <f>G393*AP393</f>
        <v>0</v>
      </c>
      <c r="AY393" s="39" t="s">
        <v>711</v>
      </c>
      <c r="AZ393" s="39" t="s">
        <v>732</v>
      </c>
      <c r="BA393" s="34" t="s">
        <v>735</v>
      </c>
      <c r="BC393" s="36">
        <f>AW393+AX393</f>
        <v>0</v>
      </c>
      <c r="BD393" s="36">
        <f>H393/(100-BE393)*100</f>
        <v>0</v>
      </c>
      <c r="BE393" s="36">
        <v>0</v>
      </c>
      <c r="BF393" s="36">
        <f>O393</f>
        <v>0.026928</v>
      </c>
      <c r="BH393" s="26">
        <f>G393*AO393</f>
        <v>0</v>
      </c>
      <c r="BI393" s="26">
        <f>G393*AP393</f>
        <v>0</v>
      </c>
      <c r="BJ393" s="26">
        <f>G393*H393</f>
        <v>0</v>
      </c>
      <c r="BK393" s="26" t="s">
        <v>741</v>
      </c>
      <c r="BL393" s="36">
        <v>87</v>
      </c>
    </row>
    <row r="394" spans="1:16" ht="12.75">
      <c r="A394" s="100"/>
      <c r="B394" s="101"/>
      <c r="C394" s="92" t="s">
        <v>57</v>
      </c>
      <c r="E394" s="102"/>
      <c r="F394" s="101"/>
      <c r="G394" s="103">
        <v>51</v>
      </c>
      <c r="H394" s="101"/>
      <c r="I394" s="101"/>
      <c r="J394" s="101"/>
      <c r="K394" s="101"/>
      <c r="L394" s="101"/>
      <c r="M394" s="89"/>
      <c r="N394" s="104"/>
      <c r="O394" s="86"/>
      <c r="P394" s="85"/>
    </row>
    <row r="395" spans="1:16" ht="12.75">
      <c r="A395" s="100"/>
      <c r="B395" s="101"/>
      <c r="C395" s="92" t="s">
        <v>516</v>
      </c>
      <c r="E395" s="102"/>
      <c r="F395" s="101"/>
      <c r="G395" s="103">
        <v>5.1</v>
      </c>
      <c r="H395" s="101"/>
      <c r="I395" s="101"/>
      <c r="J395" s="101"/>
      <c r="K395" s="101"/>
      <c r="L395" s="101"/>
      <c r="M395" s="89"/>
      <c r="N395" s="104"/>
      <c r="O395" s="86"/>
      <c r="P395" s="85"/>
    </row>
    <row r="396" spans="1:64" ht="12.75">
      <c r="A396" s="106" t="s">
        <v>109</v>
      </c>
      <c r="B396" s="106" t="s">
        <v>242</v>
      </c>
      <c r="C396" s="171" t="s">
        <v>517</v>
      </c>
      <c r="D396" s="172"/>
      <c r="E396" s="173"/>
      <c r="F396" s="106" t="s">
        <v>657</v>
      </c>
      <c r="G396" s="107">
        <v>1</v>
      </c>
      <c r="H396" s="107">
        <v>0</v>
      </c>
      <c r="I396" s="107">
        <f>G396*AO396</f>
        <v>0</v>
      </c>
      <c r="J396" s="107">
        <f>G396*AP396</f>
        <v>0</v>
      </c>
      <c r="K396" s="107">
        <f>G396*H396</f>
        <v>0</v>
      </c>
      <c r="L396" s="107">
        <v>0.00025</v>
      </c>
      <c r="M396" s="105">
        <v>0</v>
      </c>
      <c r="N396" s="108">
        <v>0.00025</v>
      </c>
      <c r="O396" s="105">
        <f>G396*N396</f>
        <v>0.00025</v>
      </c>
      <c r="P396" s="85"/>
      <c r="Z396" s="36">
        <f>IF(AQ396="5",BJ396,0)</f>
        <v>0</v>
      </c>
      <c r="AB396" s="36">
        <f>IF(AQ396="1",BH396,0)</f>
        <v>0</v>
      </c>
      <c r="AC396" s="36">
        <f>IF(AQ396="1",BI396,0)</f>
        <v>0</v>
      </c>
      <c r="AD396" s="36">
        <f>IF(AQ396="7",BH396,0)</f>
        <v>0</v>
      </c>
      <c r="AE396" s="36">
        <f>IF(AQ396="7",BI396,0)</f>
        <v>0</v>
      </c>
      <c r="AF396" s="36">
        <f>IF(AQ396="2",BH396,0)</f>
        <v>0</v>
      </c>
      <c r="AG396" s="36">
        <f>IF(AQ396="2",BI396,0)</f>
        <v>0</v>
      </c>
      <c r="AH396" s="36">
        <f>IF(AQ396="0",BJ396,0)</f>
        <v>0</v>
      </c>
      <c r="AI396" s="34" t="s">
        <v>691</v>
      </c>
      <c r="AJ396" s="26">
        <f>IF(AN396=0,K396,0)</f>
        <v>0</v>
      </c>
      <c r="AK396" s="26">
        <f>IF(AN396=15,K396,0)</f>
        <v>0</v>
      </c>
      <c r="AL396" s="26">
        <f>IF(AN396=21,K396,0)</f>
        <v>0</v>
      </c>
      <c r="AN396" s="36">
        <v>21</v>
      </c>
      <c r="AO396" s="36">
        <f>H396*1</f>
        <v>0</v>
      </c>
      <c r="AP396" s="36">
        <f>H396*(1-1)</f>
        <v>0</v>
      </c>
      <c r="AQ396" s="38" t="s">
        <v>7</v>
      </c>
      <c r="AV396" s="36">
        <f>AW396+AX396</f>
        <v>0</v>
      </c>
      <c r="AW396" s="36">
        <f>G396*AO396</f>
        <v>0</v>
      </c>
      <c r="AX396" s="36">
        <f>G396*AP396</f>
        <v>0</v>
      </c>
      <c r="AY396" s="39" t="s">
        <v>711</v>
      </c>
      <c r="AZ396" s="39" t="s">
        <v>732</v>
      </c>
      <c r="BA396" s="34" t="s">
        <v>735</v>
      </c>
      <c r="BC396" s="36">
        <f>AW396+AX396</f>
        <v>0</v>
      </c>
      <c r="BD396" s="36">
        <f>H396/(100-BE396)*100</f>
        <v>0</v>
      </c>
      <c r="BE396" s="36">
        <v>0</v>
      </c>
      <c r="BF396" s="36">
        <f>O396</f>
        <v>0.00025</v>
      </c>
      <c r="BH396" s="26">
        <f>G396*AO396</f>
        <v>0</v>
      </c>
      <c r="BI396" s="26">
        <f>G396*AP396</f>
        <v>0</v>
      </c>
      <c r="BJ396" s="26">
        <f>G396*H396</f>
        <v>0</v>
      </c>
      <c r="BK396" s="26" t="s">
        <v>741</v>
      </c>
      <c r="BL396" s="36">
        <v>87</v>
      </c>
    </row>
    <row r="397" spans="1:64" ht="12.75">
      <c r="A397" s="106" t="s">
        <v>110</v>
      </c>
      <c r="B397" s="106" t="s">
        <v>243</v>
      </c>
      <c r="C397" s="171" t="s">
        <v>518</v>
      </c>
      <c r="D397" s="172"/>
      <c r="E397" s="173"/>
      <c r="F397" s="106" t="s">
        <v>657</v>
      </c>
      <c r="G397" s="107">
        <v>1</v>
      </c>
      <c r="H397" s="107">
        <v>0</v>
      </c>
      <c r="I397" s="107">
        <f>G397*AO397</f>
        <v>0</v>
      </c>
      <c r="J397" s="107">
        <f>G397*AP397</f>
        <v>0</v>
      </c>
      <c r="K397" s="107">
        <f>G397*H397</f>
        <v>0</v>
      </c>
      <c r="L397" s="107">
        <v>5E-05</v>
      </c>
      <c r="M397" s="105">
        <v>0</v>
      </c>
      <c r="N397" s="108">
        <v>5E-05</v>
      </c>
      <c r="O397" s="105">
        <f>G397*N397</f>
        <v>5E-05</v>
      </c>
      <c r="P397" s="85"/>
      <c r="Z397" s="36">
        <f>IF(AQ397="5",BJ397,0)</f>
        <v>0</v>
      </c>
      <c r="AB397" s="36">
        <f>IF(AQ397="1",BH397,0)</f>
        <v>0</v>
      </c>
      <c r="AC397" s="36">
        <f>IF(AQ397="1",BI397,0)</f>
        <v>0</v>
      </c>
      <c r="AD397" s="36">
        <f>IF(AQ397="7",BH397,0)</f>
        <v>0</v>
      </c>
      <c r="AE397" s="36">
        <f>IF(AQ397="7",BI397,0)</f>
        <v>0</v>
      </c>
      <c r="AF397" s="36">
        <f>IF(AQ397="2",BH397,0)</f>
        <v>0</v>
      </c>
      <c r="AG397" s="36">
        <f>IF(AQ397="2",BI397,0)</f>
        <v>0</v>
      </c>
      <c r="AH397" s="36">
        <f>IF(AQ397="0",BJ397,0)</f>
        <v>0</v>
      </c>
      <c r="AI397" s="34" t="s">
        <v>691</v>
      </c>
      <c r="AJ397" s="26">
        <f>IF(AN397=0,K397,0)</f>
        <v>0</v>
      </c>
      <c r="AK397" s="26">
        <f>IF(AN397=15,K397,0)</f>
        <v>0</v>
      </c>
      <c r="AL397" s="26">
        <f>IF(AN397=21,K397,0)</f>
        <v>0</v>
      </c>
      <c r="AN397" s="36">
        <v>21</v>
      </c>
      <c r="AO397" s="36">
        <f>H397*1</f>
        <v>0</v>
      </c>
      <c r="AP397" s="36">
        <f>H397*(1-1)</f>
        <v>0</v>
      </c>
      <c r="AQ397" s="38" t="s">
        <v>7</v>
      </c>
      <c r="AV397" s="36">
        <f>AW397+AX397</f>
        <v>0</v>
      </c>
      <c r="AW397" s="36">
        <f>G397*AO397</f>
        <v>0</v>
      </c>
      <c r="AX397" s="36">
        <f>G397*AP397</f>
        <v>0</v>
      </c>
      <c r="AY397" s="39" t="s">
        <v>711</v>
      </c>
      <c r="AZ397" s="39" t="s">
        <v>732</v>
      </c>
      <c r="BA397" s="34" t="s">
        <v>735</v>
      </c>
      <c r="BC397" s="36">
        <f>AW397+AX397</f>
        <v>0</v>
      </c>
      <c r="BD397" s="36">
        <f>H397/(100-BE397)*100</f>
        <v>0</v>
      </c>
      <c r="BE397" s="36">
        <v>0</v>
      </c>
      <c r="BF397" s="36">
        <f>O397</f>
        <v>5E-05</v>
      </c>
      <c r="BH397" s="26">
        <f>G397*AO397</f>
        <v>0</v>
      </c>
      <c r="BI397" s="26">
        <f>G397*AP397</f>
        <v>0</v>
      </c>
      <c r="BJ397" s="26">
        <f>G397*H397</f>
        <v>0</v>
      </c>
      <c r="BK397" s="26" t="s">
        <v>741</v>
      </c>
      <c r="BL397" s="36">
        <v>87</v>
      </c>
    </row>
    <row r="398" spans="1:16" ht="12.75">
      <c r="A398" s="100"/>
      <c r="B398" s="101"/>
      <c r="C398" s="92" t="s">
        <v>7</v>
      </c>
      <c r="E398" s="102"/>
      <c r="F398" s="101"/>
      <c r="G398" s="103">
        <v>1</v>
      </c>
      <c r="H398" s="101"/>
      <c r="I398" s="101"/>
      <c r="J398" s="101"/>
      <c r="K398" s="101"/>
      <c r="L398" s="101"/>
      <c r="M398" s="89"/>
      <c r="N398" s="104"/>
      <c r="O398" s="86"/>
      <c r="P398" s="85"/>
    </row>
    <row r="399" spans="1:64" ht="12.75">
      <c r="A399" s="106" t="s">
        <v>111</v>
      </c>
      <c r="B399" s="106" t="s">
        <v>244</v>
      </c>
      <c r="C399" s="171" t="s">
        <v>519</v>
      </c>
      <c r="D399" s="172"/>
      <c r="E399" s="173"/>
      <c r="F399" s="106" t="s">
        <v>657</v>
      </c>
      <c r="G399" s="107">
        <v>2</v>
      </c>
      <c r="H399" s="107">
        <v>0</v>
      </c>
      <c r="I399" s="107">
        <f>G399*AO399</f>
        <v>0</v>
      </c>
      <c r="J399" s="107">
        <f>G399*AP399</f>
        <v>0</v>
      </c>
      <c r="K399" s="107">
        <f>G399*H399</f>
        <v>0</v>
      </c>
      <c r="L399" s="107">
        <v>7E-05</v>
      </c>
      <c r="M399" s="105">
        <v>0</v>
      </c>
      <c r="N399" s="108">
        <v>7E-05</v>
      </c>
      <c r="O399" s="105">
        <f>G399*N399</f>
        <v>0.00014</v>
      </c>
      <c r="P399" s="85"/>
      <c r="Z399" s="36">
        <f>IF(AQ399="5",BJ399,0)</f>
        <v>0</v>
      </c>
      <c r="AB399" s="36">
        <f>IF(AQ399="1",BH399,0)</f>
        <v>0</v>
      </c>
      <c r="AC399" s="36">
        <f>IF(AQ399="1",BI399,0)</f>
        <v>0</v>
      </c>
      <c r="AD399" s="36">
        <f>IF(AQ399="7",BH399,0)</f>
        <v>0</v>
      </c>
      <c r="AE399" s="36">
        <f>IF(AQ399="7",BI399,0)</f>
        <v>0</v>
      </c>
      <c r="AF399" s="36">
        <f>IF(AQ399="2",BH399,0)</f>
        <v>0</v>
      </c>
      <c r="AG399" s="36">
        <f>IF(AQ399="2",BI399,0)</f>
        <v>0</v>
      </c>
      <c r="AH399" s="36">
        <f>IF(AQ399="0",BJ399,0)</f>
        <v>0</v>
      </c>
      <c r="AI399" s="34" t="s">
        <v>691</v>
      </c>
      <c r="AJ399" s="26">
        <f>IF(AN399=0,K399,0)</f>
        <v>0</v>
      </c>
      <c r="AK399" s="26">
        <f>IF(AN399=15,K399,0)</f>
        <v>0</v>
      </c>
      <c r="AL399" s="26">
        <f>IF(AN399=21,K399,0)</f>
        <v>0</v>
      </c>
      <c r="AN399" s="36">
        <v>21</v>
      </c>
      <c r="AO399" s="36">
        <f>H399*1</f>
        <v>0</v>
      </c>
      <c r="AP399" s="36">
        <f>H399*(1-1)</f>
        <v>0</v>
      </c>
      <c r="AQ399" s="38" t="s">
        <v>7</v>
      </c>
      <c r="AV399" s="36">
        <f>AW399+AX399</f>
        <v>0</v>
      </c>
      <c r="AW399" s="36">
        <f>G399*AO399</f>
        <v>0</v>
      </c>
      <c r="AX399" s="36">
        <f>G399*AP399</f>
        <v>0</v>
      </c>
      <c r="AY399" s="39" t="s">
        <v>711</v>
      </c>
      <c r="AZ399" s="39" t="s">
        <v>732</v>
      </c>
      <c r="BA399" s="34" t="s">
        <v>735</v>
      </c>
      <c r="BC399" s="36">
        <f>AW399+AX399</f>
        <v>0</v>
      </c>
      <c r="BD399" s="36">
        <f>H399/(100-BE399)*100</f>
        <v>0</v>
      </c>
      <c r="BE399" s="36">
        <v>0</v>
      </c>
      <c r="BF399" s="36">
        <f>O399</f>
        <v>0.00014</v>
      </c>
      <c r="BH399" s="26">
        <f>G399*AO399</f>
        <v>0</v>
      </c>
      <c r="BI399" s="26">
        <f>G399*AP399</f>
        <v>0</v>
      </c>
      <c r="BJ399" s="26">
        <f>G399*H399</f>
        <v>0</v>
      </c>
      <c r="BK399" s="26" t="s">
        <v>741</v>
      </c>
      <c r="BL399" s="36">
        <v>87</v>
      </c>
    </row>
    <row r="400" spans="1:64" ht="12.75">
      <c r="A400" s="106" t="s">
        <v>112</v>
      </c>
      <c r="B400" s="106" t="s">
        <v>245</v>
      </c>
      <c r="C400" s="171" t="s">
        <v>520</v>
      </c>
      <c r="D400" s="172"/>
      <c r="E400" s="173"/>
      <c r="F400" s="106" t="s">
        <v>657</v>
      </c>
      <c r="G400" s="107">
        <v>1</v>
      </c>
      <c r="H400" s="107">
        <v>0</v>
      </c>
      <c r="I400" s="107">
        <f>G400*AO400</f>
        <v>0</v>
      </c>
      <c r="J400" s="107">
        <f>G400*AP400</f>
        <v>0</v>
      </c>
      <c r="K400" s="107">
        <f>G400*H400</f>
        <v>0</v>
      </c>
      <c r="L400" s="107">
        <v>0.00042</v>
      </c>
      <c r="M400" s="105">
        <v>0</v>
      </c>
      <c r="N400" s="108">
        <v>0.00042</v>
      </c>
      <c r="O400" s="105">
        <f>G400*N400</f>
        <v>0.00042</v>
      </c>
      <c r="P400" s="85"/>
      <c r="Z400" s="36">
        <f>IF(AQ400="5",BJ400,0)</f>
        <v>0</v>
      </c>
      <c r="AB400" s="36">
        <f>IF(AQ400="1",BH400,0)</f>
        <v>0</v>
      </c>
      <c r="AC400" s="36">
        <f>IF(AQ400="1",BI400,0)</f>
        <v>0</v>
      </c>
      <c r="AD400" s="36">
        <f>IF(AQ400="7",BH400,0)</f>
        <v>0</v>
      </c>
      <c r="AE400" s="36">
        <f>IF(AQ400="7",BI400,0)</f>
        <v>0</v>
      </c>
      <c r="AF400" s="36">
        <f>IF(AQ400="2",BH400,0)</f>
        <v>0</v>
      </c>
      <c r="AG400" s="36">
        <f>IF(AQ400="2",BI400,0)</f>
        <v>0</v>
      </c>
      <c r="AH400" s="36">
        <f>IF(AQ400="0",BJ400,0)</f>
        <v>0</v>
      </c>
      <c r="AI400" s="34" t="s">
        <v>691</v>
      </c>
      <c r="AJ400" s="26">
        <f>IF(AN400=0,K400,0)</f>
        <v>0</v>
      </c>
      <c r="AK400" s="26">
        <f>IF(AN400=15,K400,0)</f>
        <v>0</v>
      </c>
      <c r="AL400" s="26">
        <f>IF(AN400=21,K400,0)</f>
        <v>0</v>
      </c>
      <c r="AN400" s="36">
        <v>21</v>
      </c>
      <c r="AO400" s="36">
        <f>H400*1</f>
        <v>0</v>
      </c>
      <c r="AP400" s="36">
        <f>H400*(1-1)</f>
        <v>0</v>
      </c>
      <c r="AQ400" s="38" t="s">
        <v>7</v>
      </c>
      <c r="AV400" s="36">
        <f>AW400+AX400</f>
        <v>0</v>
      </c>
      <c r="AW400" s="36">
        <f>G400*AO400</f>
        <v>0</v>
      </c>
      <c r="AX400" s="36">
        <f>G400*AP400</f>
        <v>0</v>
      </c>
      <c r="AY400" s="39" t="s">
        <v>711</v>
      </c>
      <c r="AZ400" s="39" t="s">
        <v>732</v>
      </c>
      <c r="BA400" s="34" t="s">
        <v>735</v>
      </c>
      <c r="BC400" s="36">
        <f>AW400+AX400</f>
        <v>0</v>
      </c>
      <c r="BD400" s="36">
        <f>H400/(100-BE400)*100</f>
        <v>0</v>
      </c>
      <c r="BE400" s="36">
        <v>0</v>
      </c>
      <c r="BF400" s="36">
        <f>O400</f>
        <v>0.00042</v>
      </c>
      <c r="BH400" s="26">
        <f>G400*AO400</f>
        <v>0</v>
      </c>
      <c r="BI400" s="26">
        <f>G400*AP400</f>
        <v>0</v>
      </c>
      <c r="BJ400" s="26">
        <f>G400*H400</f>
        <v>0</v>
      </c>
      <c r="BK400" s="26" t="s">
        <v>741</v>
      </c>
      <c r="BL400" s="36">
        <v>87</v>
      </c>
    </row>
    <row r="401" spans="1:16" ht="12.75">
      <c r="A401" s="100"/>
      <c r="B401" s="101"/>
      <c r="C401" s="92" t="s">
        <v>7</v>
      </c>
      <c r="E401" s="102" t="s">
        <v>648</v>
      </c>
      <c r="F401" s="101"/>
      <c r="G401" s="103">
        <v>1</v>
      </c>
      <c r="H401" s="101"/>
      <c r="I401" s="101"/>
      <c r="J401" s="101"/>
      <c r="K401" s="101"/>
      <c r="L401" s="101"/>
      <c r="M401" s="89"/>
      <c r="N401" s="104"/>
      <c r="O401" s="86"/>
      <c r="P401" s="85"/>
    </row>
    <row r="402" spans="1:64" ht="12.75">
      <c r="A402" s="88" t="s">
        <v>113</v>
      </c>
      <c r="B402" s="88" t="s">
        <v>246</v>
      </c>
      <c r="C402" s="156" t="s">
        <v>521</v>
      </c>
      <c r="D402" s="157"/>
      <c r="E402" s="158"/>
      <c r="F402" s="88" t="s">
        <v>653</v>
      </c>
      <c r="G402" s="96">
        <v>86.5</v>
      </c>
      <c r="H402" s="96">
        <v>0</v>
      </c>
      <c r="I402" s="96">
        <f>G402*AO402</f>
        <v>0</v>
      </c>
      <c r="J402" s="96">
        <f>G402*AP402</f>
        <v>0</v>
      </c>
      <c r="K402" s="96">
        <f>G402*H402</f>
        <v>0</v>
      </c>
      <c r="L402" s="96">
        <v>0.0005</v>
      </c>
      <c r="M402" s="81">
        <v>0</v>
      </c>
      <c r="N402" s="98">
        <v>0.0005</v>
      </c>
      <c r="O402" s="81">
        <f>G402*N402</f>
        <v>0.043250000000000004</v>
      </c>
      <c r="P402" s="85"/>
      <c r="Z402" s="36">
        <f>IF(AQ402="5",BJ402,0)</f>
        <v>0</v>
      </c>
      <c r="AB402" s="36">
        <f>IF(AQ402="1",BH402,0)</f>
        <v>0</v>
      </c>
      <c r="AC402" s="36">
        <f>IF(AQ402="1",BI402,0)</f>
        <v>0</v>
      </c>
      <c r="AD402" s="36">
        <f>IF(AQ402="7",BH402,0)</f>
        <v>0</v>
      </c>
      <c r="AE402" s="36">
        <f>IF(AQ402="7",BI402,0)</f>
        <v>0</v>
      </c>
      <c r="AF402" s="36">
        <f>IF(AQ402="2",BH402,0)</f>
        <v>0</v>
      </c>
      <c r="AG402" s="36">
        <f>IF(AQ402="2",BI402,0)</f>
        <v>0</v>
      </c>
      <c r="AH402" s="36">
        <f>IF(AQ402="0",BJ402,0)</f>
        <v>0</v>
      </c>
      <c r="AI402" s="34" t="s">
        <v>691</v>
      </c>
      <c r="AJ402" s="24">
        <f>IF(AN402=0,K402,0)</f>
        <v>0</v>
      </c>
      <c r="AK402" s="24">
        <f>IF(AN402=15,K402,0)</f>
        <v>0</v>
      </c>
      <c r="AL402" s="24">
        <f>IF(AN402=21,K402,0)</f>
        <v>0</v>
      </c>
      <c r="AN402" s="36">
        <v>21</v>
      </c>
      <c r="AO402" s="36">
        <f>H402*0.2991056889785</f>
        <v>0</v>
      </c>
      <c r="AP402" s="36">
        <f>H402*(1-0.2991056889785)</f>
        <v>0</v>
      </c>
      <c r="AQ402" s="37" t="s">
        <v>7</v>
      </c>
      <c r="AV402" s="36">
        <f>AW402+AX402</f>
        <v>0</v>
      </c>
      <c r="AW402" s="36">
        <f>G402*AO402</f>
        <v>0</v>
      </c>
      <c r="AX402" s="36">
        <f>G402*AP402</f>
        <v>0</v>
      </c>
      <c r="AY402" s="39" t="s">
        <v>711</v>
      </c>
      <c r="AZ402" s="39" t="s">
        <v>732</v>
      </c>
      <c r="BA402" s="34" t="s">
        <v>735</v>
      </c>
      <c r="BC402" s="36">
        <f>AW402+AX402</f>
        <v>0</v>
      </c>
      <c r="BD402" s="36">
        <f>H402/(100-BE402)*100</f>
        <v>0</v>
      </c>
      <c r="BE402" s="36">
        <v>0</v>
      </c>
      <c r="BF402" s="36">
        <f>O402</f>
        <v>0.043250000000000004</v>
      </c>
      <c r="BH402" s="24">
        <f>G402*AO402</f>
        <v>0</v>
      </c>
      <c r="BI402" s="24">
        <f>G402*AP402</f>
        <v>0</v>
      </c>
      <c r="BJ402" s="24">
        <f>G402*H402</f>
        <v>0</v>
      </c>
      <c r="BK402" s="24" t="s">
        <v>740</v>
      </c>
      <c r="BL402" s="36">
        <v>87</v>
      </c>
    </row>
    <row r="403" spans="1:16" ht="12.75">
      <c r="A403" s="100"/>
      <c r="B403" s="101"/>
      <c r="C403" s="92" t="s">
        <v>522</v>
      </c>
      <c r="E403" s="102" t="s">
        <v>649</v>
      </c>
      <c r="F403" s="101"/>
      <c r="G403" s="103">
        <v>58.5</v>
      </c>
      <c r="H403" s="101"/>
      <c r="I403" s="101"/>
      <c r="J403" s="101"/>
      <c r="K403" s="101"/>
      <c r="L403" s="101"/>
      <c r="M403" s="89"/>
      <c r="N403" s="104"/>
      <c r="O403" s="86"/>
      <c r="P403" s="85"/>
    </row>
    <row r="404" spans="1:16" ht="12.75">
      <c r="A404" s="100"/>
      <c r="B404" s="101"/>
      <c r="C404" s="92" t="s">
        <v>523</v>
      </c>
      <c r="E404" s="102" t="s">
        <v>650</v>
      </c>
      <c r="F404" s="101"/>
      <c r="G404" s="103">
        <v>18</v>
      </c>
      <c r="H404" s="101"/>
      <c r="I404" s="101"/>
      <c r="J404" s="101"/>
      <c r="K404" s="101"/>
      <c r="L404" s="101"/>
      <c r="M404" s="89"/>
      <c r="N404" s="104"/>
      <c r="O404" s="86"/>
      <c r="P404" s="85"/>
    </row>
    <row r="405" spans="1:16" ht="12.75">
      <c r="A405" s="100"/>
      <c r="B405" s="101"/>
      <c r="C405" s="92" t="s">
        <v>16</v>
      </c>
      <c r="E405" s="102" t="s">
        <v>651</v>
      </c>
      <c r="F405" s="101"/>
      <c r="G405" s="103">
        <v>10</v>
      </c>
      <c r="H405" s="101"/>
      <c r="I405" s="101"/>
      <c r="J405" s="101"/>
      <c r="K405" s="101"/>
      <c r="L405" s="101"/>
      <c r="M405" s="89"/>
      <c r="N405" s="104"/>
      <c r="O405" s="86"/>
      <c r="P405" s="85"/>
    </row>
    <row r="406" spans="1:64" ht="12.75">
      <c r="A406" s="80" t="s">
        <v>114</v>
      </c>
      <c r="B406" s="80" t="s">
        <v>247</v>
      </c>
      <c r="C406" s="162" t="s">
        <v>524</v>
      </c>
      <c r="D406" s="157"/>
      <c r="E406" s="164"/>
      <c r="F406" s="80" t="s">
        <v>656</v>
      </c>
      <c r="G406" s="83">
        <v>0.1</v>
      </c>
      <c r="H406" s="83">
        <v>0</v>
      </c>
      <c r="I406" s="83">
        <f>G406*AO406</f>
        <v>0</v>
      </c>
      <c r="J406" s="83">
        <f>G406*AP406</f>
        <v>0</v>
      </c>
      <c r="K406" s="83">
        <f>G406*H406</f>
        <v>0</v>
      </c>
      <c r="L406" s="83">
        <v>0</v>
      </c>
      <c r="M406" s="82">
        <v>0</v>
      </c>
      <c r="N406" s="84">
        <v>0</v>
      </c>
      <c r="O406" s="82">
        <f>G406*N406</f>
        <v>0</v>
      </c>
      <c r="P406" s="85"/>
      <c r="Z406" s="36">
        <f>IF(AQ406="5",BJ406,0)</f>
        <v>0</v>
      </c>
      <c r="AB406" s="36">
        <f>IF(AQ406="1",BH406,0)</f>
        <v>0</v>
      </c>
      <c r="AC406" s="36">
        <f>IF(AQ406="1",BI406,0)</f>
        <v>0</v>
      </c>
      <c r="AD406" s="36">
        <f>IF(AQ406="7",BH406,0)</f>
        <v>0</v>
      </c>
      <c r="AE406" s="36">
        <f>IF(AQ406="7",BI406,0)</f>
        <v>0</v>
      </c>
      <c r="AF406" s="36">
        <f>IF(AQ406="2",BH406,0)</f>
        <v>0</v>
      </c>
      <c r="AG406" s="36">
        <f>IF(AQ406="2",BI406,0)</f>
        <v>0</v>
      </c>
      <c r="AH406" s="36">
        <f>IF(AQ406="0",BJ406,0)</f>
        <v>0</v>
      </c>
      <c r="AI406" s="34" t="s">
        <v>691</v>
      </c>
      <c r="AJ406" s="24">
        <f>IF(AN406=0,K406,0)</f>
        <v>0</v>
      </c>
      <c r="AK406" s="24">
        <f>IF(AN406=15,K406,0)</f>
        <v>0</v>
      </c>
      <c r="AL406" s="24">
        <f>IF(AN406=21,K406,0)</f>
        <v>0</v>
      </c>
      <c r="AN406" s="36">
        <v>21</v>
      </c>
      <c r="AO406" s="36">
        <f>H406*0</f>
        <v>0</v>
      </c>
      <c r="AP406" s="36">
        <f>H406*(1-0)</f>
        <v>0</v>
      </c>
      <c r="AQ406" s="37" t="s">
        <v>11</v>
      </c>
      <c r="AV406" s="36">
        <f>AW406+AX406</f>
        <v>0</v>
      </c>
      <c r="AW406" s="36">
        <f>G406*AO406</f>
        <v>0</v>
      </c>
      <c r="AX406" s="36">
        <f>G406*AP406</f>
        <v>0</v>
      </c>
      <c r="AY406" s="39" t="s">
        <v>711</v>
      </c>
      <c r="AZ406" s="39" t="s">
        <v>732</v>
      </c>
      <c r="BA406" s="34" t="s">
        <v>735</v>
      </c>
      <c r="BC406" s="36">
        <f>AW406+AX406</f>
        <v>0</v>
      </c>
      <c r="BD406" s="36">
        <f>H406/(100-BE406)*100</f>
        <v>0</v>
      </c>
      <c r="BE406" s="36">
        <v>0</v>
      </c>
      <c r="BF406" s="36">
        <f>O406</f>
        <v>0</v>
      </c>
      <c r="BH406" s="24">
        <f>G406*AO406</f>
        <v>0</v>
      </c>
      <c r="BI406" s="24">
        <f>G406*AP406</f>
        <v>0</v>
      </c>
      <c r="BJ406" s="24">
        <f>G406*H406</f>
        <v>0</v>
      </c>
      <c r="BK406" s="24" t="s">
        <v>740</v>
      </c>
      <c r="BL406" s="36">
        <v>87</v>
      </c>
    </row>
    <row r="407" spans="1:47" ht="12.75">
      <c r="A407" s="4"/>
      <c r="B407" s="13" t="s">
        <v>95</v>
      </c>
      <c r="C407" s="160" t="s">
        <v>525</v>
      </c>
      <c r="D407" s="161"/>
      <c r="E407" s="161"/>
      <c r="F407" s="22" t="s">
        <v>6</v>
      </c>
      <c r="G407" s="22" t="s">
        <v>6</v>
      </c>
      <c r="H407" s="22" t="s">
        <v>6</v>
      </c>
      <c r="I407" s="43">
        <f>SUM(I408:I410)</f>
        <v>0</v>
      </c>
      <c r="J407" s="43">
        <f>SUM(J408:J410)</f>
        <v>0</v>
      </c>
      <c r="K407" s="43">
        <f>SUM(K408:K410)</f>
        <v>0</v>
      </c>
      <c r="L407" s="34"/>
      <c r="M407" s="34"/>
      <c r="N407" s="34"/>
      <c r="O407" s="46">
        <f>SUM(O408:O410)</f>
        <v>0</v>
      </c>
      <c r="P407" s="6"/>
      <c r="AI407" s="34" t="s">
        <v>691</v>
      </c>
      <c r="AS407" s="43">
        <f>SUM(AJ408:AJ410)</f>
        <v>0</v>
      </c>
      <c r="AT407" s="43">
        <f>SUM(AK408:AK410)</f>
        <v>0</v>
      </c>
      <c r="AU407" s="43">
        <f>SUM(AL408:AL410)</f>
        <v>0</v>
      </c>
    </row>
    <row r="408" spans="1:64" ht="12.75">
      <c r="A408" s="88" t="s">
        <v>115</v>
      </c>
      <c r="B408" s="88" t="s">
        <v>248</v>
      </c>
      <c r="C408" s="156" t="s">
        <v>526</v>
      </c>
      <c r="D408" s="157"/>
      <c r="E408" s="158"/>
      <c r="F408" s="88" t="s">
        <v>659</v>
      </c>
      <c r="G408" s="96">
        <v>0</v>
      </c>
      <c r="H408" s="96">
        <v>0</v>
      </c>
      <c r="I408" s="96">
        <f>G408*AO408</f>
        <v>0</v>
      </c>
      <c r="J408" s="96">
        <f>G408*AP408</f>
        <v>0</v>
      </c>
      <c r="K408" s="96">
        <f>G408*H408</f>
        <v>0</v>
      </c>
      <c r="L408" s="96">
        <v>0.022</v>
      </c>
      <c r="M408" s="81">
        <v>0</v>
      </c>
      <c r="N408" s="98">
        <v>0.022</v>
      </c>
      <c r="O408" s="81">
        <f>G408*N408</f>
        <v>0</v>
      </c>
      <c r="P408" s="85"/>
      <c r="Z408" s="36">
        <f>IF(AQ408="5",BJ408,0)</f>
        <v>0</v>
      </c>
      <c r="AB408" s="36">
        <f>IF(AQ408="1",BH408,0)</f>
        <v>0</v>
      </c>
      <c r="AC408" s="36">
        <f>IF(AQ408="1",BI408,0)</f>
        <v>0</v>
      </c>
      <c r="AD408" s="36">
        <f>IF(AQ408="7",BH408,0)</f>
        <v>0</v>
      </c>
      <c r="AE408" s="36">
        <f>IF(AQ408="7",BI408,0)</f>
        <v>0</v>
      </c>
      <c r="AF408" s="36">
        <f>IF(AQ408="2",BH408,0)</f>
        <v>0</v>
      </c>
      <c r="AG408" s="36">
        <f>IF(AQ408="2",BI408,0)</f>
        <v>0</v>
      </c>
      <c r="AH408" s="36">
        <f>IF(AQ408="0",BJ408,0)</f>
        <v>0</v>
      </c>
      <c r="AI408" s="34" t="s">
        <v>691</v>
      </c>
      <c r="AJ408" s="24">
        <f>IF(AN408=0,K408,0)</f>
        <v>0</v>
      </c>
      <c r="AK408" s="24">
        <f>IF(AN408=15,K408,0)</f>
        <v>0</v>
      </c>
      <c r="AL408" s="24">
        <f>IF(AN408=21,K408,0)</f>
        <v>0</v>
      </c>
      <c r="AN408" s="36">
        <v>21</v>
      </c>
      <c r="AO408" s="36">
        <f>H408*0</f>
        <v>0</v>
      </c>
      <c r="AP408" s="36">
        <f>H408*(1-0)</f>
        <v>0</v>
      </c>
      <c r="AQ408" s="37" t="s">
        <v>7</v>
      </c>
      <c r="AV408" s="36">
        <f>AW408+AX408</f>
        <v>0</v>
      </c>
      <c r="AW408" s="36">
        <f>G408*AO408</f>
        <v>0</v>
      </c>
      <c r="AX408" s="36">
        <f>G408*AP408</f>
        <v>0</v>
      </c>
      <c r="AY408" s="39" t="s">
        <v>712</v>
      </c>
      <c r="AZ408" s="39" t="s">
        <v>732</v>
      </c>
      <c r="BA408" s="34" t="s">
        <v>735</v>
      </c>
      <c r="BC408" s="36">
        <f>AW408+AX408</f>
        <v>0</v>
      </c>
      <c r="BD408" s="36">
        <f>H408/(100-BE408)*100</f>
        <v>0</v>
      </c>
      <c r="BE408" s="36">
        <v>0</v>
      </c>
      <c r="BF408" s="36">
        <f>O408</f>
        <v>0</v>
      </c>
      <c r="BH408" s="24">
        <f>G408*AO408</f>
        <v>0</v>
      </c>
      <c r="BI408" s="24">
        <f>G408*AP408</f>
        <v>0</v>
      </c>
      <c r="BJ408" s="24">
        <f>G408*H408</f>
        <v>0</v>
      </c>
      <c r="BK408" s="24" t="s">
        <v>740</v>
      </c>
      <c r="BL408" s="36">
        <v>89</v>
      </c>
    </row>
    <row r="409" spans="1:64" ht="12.75">
      <c r="A409" s="88" t="s">
        <v>116</v>
      </c>
      <c r="B409" s="88" t="s">
        <v>249</v>
      </c>
      <c r="C409" s="156" t="s">
        <v>527</v>
      </c>
      <c r="D409" s="157"/>
      <c r="E409" s="158"/>
      <c r="F409" s="88" t="s">
        <v>656</v>
      </c>
      <c r="G409" s="96">
        <v>0</v>
      </c>
      <c r="H409" s="96">
        <v>0</v>
      </c>
      <c r="I409" s="96">
        <f>G409*AO409</f>
        <v>0</v>
      </c>
      <c r="J409" s="96">
        <f>G409*AP409</f>
        <v>0</v>
      </c>
      <c r="K409" s="96">
        <f>G409*H409</f>
        <v>0</v>
      </c>
      <c r="L409" s="96">
        <v>0</v>
      </c>
      <c r="M409" s="81">
        <v>0</v>
      </c>
      <c r="N409" s="98">
        <v>0</v>
      </c>
      <c r="O409" s="81">
        <f>G409*N409</f>
        <v>0</v>
      </c>
      <c r="P409" s="85"/>
      <c r="Z409" s="36">
        <f>IF(AQ409="5",BJ409,0)</f>
        <v>0</v>
      </c>
      <c r="AB409" s="36">
        <f>IF(AQ409="1",BH409,0)</f>
        <v>0</v>
      </c>
      <c r="AC409" s="36">
        <f>IF(AQ409="1",BI409,0)</f>
        <v>0</v>
      </c>
      <c r="AD409" s="36">
        <f>IF(AQ409="7",BH409,0)</f>
        <v>0</v>
      </c>
      <c r="AE409" s="36">
        <f>IF(AQ409="7",BI409,0)</f>
        <v>0</v>
      </c>
      <c r="AF409" s="36">
        <f>IF(AQ409="2",BH409,0)</f>
        <v>0</v>
      </c>
      <c r="AG409" s="36">
        <f>IF(AQ409="2",BI409,0)</f>
        <v>0</v>
      </c>
      <c r="AH409" s="36">
        <f>IF(AQ409="0",BJ409,0)</f>
        <v>0</v>
      </c>
      <c r="AI409" s="34" t="s">
        <v>691</v>
      </c>
      <c r="AJ409" s="24">
        <f>IF(AN409=0,K409,0)</f>
        <v>0</v>
      </c>
      <c r="AK409" s="24">
        <f>IF(AN409=15,K409,0)</f>
        <v>0</v>
      </c>
      <c r="AL409" s="24">
        <f>IF(AN409=21,K409,0)</f>
        <v>0</v>
      </c>
      <c r="AN409" s="36">
        <v>21</v>
      </c>
      <c r="AO409" s="36">
        <f>H409*0</f>
        <v>0</v>
      </c>
      <c r="AP409" s="36">
        <f>H409*(1-0)</f>
        <v>0</v>
      </c>
      <c r="AQ409" s="37" t="s">
        <v>11</v>
      </c>
      <c r="AV409" s="36">
        <f>AW409+AX409</f>
        <v>0</v>
      </c>
      <c r="AW409" s="36">
        <f>G409*AO409</f>
        <v>0</v>
      </c>
      <c r="AX409" s="36">
        <f>G409*AP409</f>
        <v>0</v>
      </c>
      <c r="AY409" s="39" t="s">
        <v>712</v>
      </c>
      <c r="AZ409" s="39" t="s">
        <v>732</v>
      </c>
      <c r="BA409" s="34" t="s">
        <v>735</v>
      </c>
      <c r="BC409" s="36">
        <f>AW409+AX409</f>
        <v>0</v>
      </c>
      <c r="BD409" s="36">
        <f>H409/(100-BE409)*100</f>
        <v>0</v>
      </c>
      <c r="BE409" s="36">
        <v>0</v>
      </c>
      <c r="BF409" s="36">
        <f>O409</f>
        <v>0</v>
      </c>
      <c r="BH409" s="24">
        <f>G409*AO409</f>
        <v>0</v>
      </c>
      <c r="BI409" s="24">
        <f>G409*AP409</f>
        <v>0</v>
      </c>
      <c r="BJ409" s="24">
        <f>G409*H409</f>
        <v>0</v>
      </c>
      <c r="BK409" s="24" t="s">
        <v>740</v>
      </c>
      <c r="BL409" s="36">
        <v>89</v>
      </c>
    </row>
    <row r="410" spans="1:64" ht="12.75">
      <c r="A410" s="80" t="s">
        <v>117</v>
      </c>
      <c r="B410" s="80" t="s">
        <v>250</v>
      </c>
      <c r="C410" s="162" t="s">
        <v>528</v>
      </c>
      <c r="D410" s="157"/>
      <c r="E410" s="164"/>
      <c r="F410" s="80" t="s">
        <v>654</v>
      </c>
      <c r="G410" s="83">
        <v>0</v>
      </c>
      <c r="H410" s="83">
        <v>0</v>
      </c>
      <c r="I410" s="83">
        <f>G410*AO410</f>
        <v>0</v>
      </c>
      <c r="J410" s="83">
        <f>G410*AP410</f>
        <v>0</v>
      </c>
      <c r="K410" s="83">
        <f>G410*H410</f>
        <v>0</v>
      </c>
      <c r="L410" s="83">
        <v>0</v>
      </c>
      <c r="M410" s="82">
        <v>0</v>
      </c>
      <c r="N410" s="84">
        <v>0</v>
      </c>
      <c r="O410" s="82">
        <f>G410*N410</f>
        <v>0</v>
      </c>
      <c r="P410" s="85"/>
      <c r="Z410" s="36">
        <f>IF(AQ410="5",BJ410,0)</f>
        <v>0</v>
      </c>
      <c r="AB410" s="36">
        <f>IF(AQ410="1",BH410,0)</f>
        <v>0</v>
      </c>
      <c r="AC410" s="36">
        <f>IF(AQ410="1",BI410,0)</f>
        <v>0</v>
      </c>
      <c r="AD410" s="36">
        <f>IF(AQ410="7",BH410,0)</f>
        <v>0</v>
      </c>
      <c r="AE410" s="36">
        <f>IF(AQ410="7",BI410,0)</f>
        <v>0</v>
      </c>
      <c r="AF410" s="36">
        <f>IF(AQ410="2",BH410,0)</f>
        <v>0</v>
      </c>
      <c r="AG410" s="36">
        <f>IF(AQ410="2",BI410,0)</f>
        <v>0</v>
      </c>
      <c r="AH410" s="36">
        <f>IF(AQ410="0",BJ410,0)</f>
        <v>0</v>
      </c>
      <c r="AI410" s="34" t="s">
        <v>691</v>
      </c>
      <c r="AJ410" s="24">
        <f>IF(AN410=0,K410,0)</f>
        <v>0</v>
      </c>
      <c r="AK410" s="24">
        <f>IF(AN410=15,K410,0)</f>
        <v>0</v>
      </c>
      <c r="AL410" s="24">
        <f>IF(AN410=21,K410,0)</f>
        <v>0</v>
      </c>
      <c r="AN410" s="36">
        <v>21</v>
      </c>
      <c r="AO410" s="36">
        <f>H410*0</f>
        <v>0</v>
      </c>
      <c r="AP410" s="36">
        <f>H410*(1-0)</f>
        <v>0</v>
      </c>
      <c r="AQ410" s="37" t="s">
        <v>7</v>
      </c>
      <c r="AV410" s="36">
        <f>AW410+AX410</f>
        <v>0</v>
      </c>
      <c r="AW410" s="36">
        <f>G410*AO410</f>
        <v>0</v>
      </c>
      <c r="AX410" s="36">
        <f>G410*AP410</f>
        <v>0</v>
      </c>
      <c r="AY410" s="39" t="s">
        <v>712</v>
      </c>
      <c r="AZ410" s="39" t="s">
        <v>732</v>
      </c>
      <c r="BA410" s="34" t="s">
        <v>735</v>
      </c>
      <c r="BC410" s="36">
        <f>AW410+AX410</f>
        <v>0</v>
      </c>
      <c r="BD410" s="36">
        <f>H410/(100-BE410)*100</f>
        <v>0</v>
      </c>
      <c r="BE410" s="36">
        <v>0</v>
      </c>
      <c r="BF410" s="36">
        <f>O410</f>
        <v>0</v>
      </c>
      <c r="BH410" s="24">
        <f>G410*AO410</f>
        <v>0</v>
      </c>
      <c r="BI410" s="24">
        <f>G410*AP410</f>
        <v>0</v>
      </c>
      <c r="BJ410" s="24">
        <f>G410*H410</f>
        <v>0</v>
      </c>
      <c r="BK410" s="24" t="s">
        <v>740</v>
      </c>
      <c r="BL410" s="36">
        <v>89</v>
      </c>
    </row>
    <row r="411" spans="1:47" ht="12.75">
      <c r="A411" s="4"/>
      <c r="B411" s="13" t="s">
        <v>100</v>
      </c>
      <c r="C411" s="160" t="s">
        <v>529</v>
      </c>
      <c r="D411" s="161"/>
      <c r="E411" s="161"/>
      <c r="F411" s="22" t="s">
        <v>6</v>
      </c>
      <c r="G411" s="22" t="s">
        <v>6</v>
      </c>
      <c r="H411" s="22" t="s">
        <v>6</v>
      </c>
      <c r="I411" s="43">
        <f>SUM(I412:I412)</f>
        <v>0</v>
      </c>
      <c r="J411" s="43">
        <f>SUM(J412:J412)</f>
        <v>0</v>
      </c>
      <c r="K411" s="43">
        <f>SUM(K412:K412)</f>
        <v>0</v>
      </c>
      <c r="L411" s="34"/>
      <c r="M411" s="34"/>
      <c r="N411" s="34"/>
      <c r="O411" s="46">
        <f>SUM(O412:O412)</f>
        <v>0.001452</v>
      </c>
      <c r="P411" s="6"/>
      <c r="AI411" s="34" t="s">
        <v>691</v>
      </c>
      <c r="AS411" s="43">
        <f>SUM(AJ412:AJ412)</f>
        <v>0</v>
      </c>
      <c r="AT411" s="43">
        <f>SUM(AK412:AK412)</f>
        <v>0</v>
      </c>
      <c r="AU411" s="43">
        <f>SUM(AL412:AL412)</f>
        <v>0</v>
      </c>
    </row>
    <row r="412" spans="1:64" ht="12.75">
      <c r="A412" s="88" t="s">
        <v>118</v>
      </c>
      <c r="B412" s="88" t="s">
        <v>251</v>
      </c>
      <c r="C412" s="156" t="s">
        <v>530</v>
      </c>
      <c r="D412" s="157"/>
      <c r="E412" s="158"/>
      <c r="F412" s="88" t="s">
        <v>653</v>
      </c>
      <c r="G412" s="96">
        <v>1.2</v>
      </c>
      <c r="H412" s="96">
        <v>0</v>
      </c>
      <c r="I412" s="96">
        <f>G412*AO412</f>
        <v>0</v>
      </c>
      <c r="J412" s="96">
        <f>G412*AP412</f>
        <v>0</v>
      </c>
      <c r="K412" s="96">
        <f>G412*H412</f>
        <v>0</v>
      </c>
      <c r="L412" s="96">
        <v>0.00121</v>
      </c>
      <c r="M412" s="81">
        <v>0</v>
      </c>
      <c r="N412" s="98">
        <v>0.00121</v>
      </c>
      <c r="O412" s="81">
        <f>G412*N412</f>
        <v>0.001452</v>
      </c>
      <c r="P412" s="85"/>
      <c r="Z412" s="36">
        <f>IF(AQ412="5",BJ412,0)</f>
        <v>0</v>
      </c>
      <c r="AB412" s="36">
        <f>IF(AQ412="1",BH412,0)</f>
        <v>0</v>
      </c>
      <c r="AC412" s="36">
        <f>IF(AQ412="1",BI412,0)</f>
        <v>0</v>
      </c>
      <c r="AD412" s="36">
        <f>IF(AQ412="7",BH412,0)</f>
        <v>0</v>
      </c>
      <c r="AE412" s="36">
        <f>IF(AQ412="7",BI412,0)</f>
        <v>0</v>
      </c>
      <c r="AF412" s="36">
        <f>IF(AQ412="2",BH412,0)</f>
        <v>0</v>
      </c>
      <c r="AG412" s="36">
        <f>IF(AQ412="2",BI412,0)</f>
        <v>0</v>
      </c>
      <c r="AH412" s="36">
        <f>IF(AQ412="0",BJ412,0)</f>
        <v>0</v>
      </c>
      <c r="AI412" s="34" t="s">
        <v>691</v>
      </c>
      <c r="AJ412" s="24">
        <f>IF(AN412=0,K412,0)</f>
        <v>0</v>
      </c>
      <c r="AK412" s="24">
        <f>IF(AN412=15,K412,0)</f>
        <v>0</v>
      </c>
      <c r="AL412" s="24">
        <f>IF(AN412=21,K412,0)</f>
        <v>0</v>
      </c>
      <c r="AN412" s="36">
        <v>21</v>
      </c>
      <c r="AO412" s="36">
        <f>H412*0.330532298947692</f>
        <v>0</v>
      </c>
      <c r="AP412" s="36">
        <f>H412*(1-0.330532298947692)</f>
        <v>0</v>
      </c>
      <c r="AQ412" s="37" t="s">
        <v>7</v>
      </c>
      <c r="AV412" s="36">
        <f>AW412+AX412</f>
        <v>0</v>
      </c>
      <c r="AW412" s="36">
        <f>G412*AO412</f>
        <v>0</v>
      </c>
      <c r="AX412" s="36">
        <f>G412*AP412</f>
        <v>0</v>
      </c>
      <c r="AY412" s="39" t="s">
        <v>713</v>
      </c>
      <c r="AZ412" s="39" t="s">
        <v>733</v>
      </c>
      <c r="BA412" s="34" t="s">
        <v>735</v>
      </c>
      <c r="BC412" s="36">
        <f>AW412+AX412</f>
        <v>0</v>
      </c>
      <c r="BD412" s="36">
        <f>H412/(100-BE412)*100</f>
        <v>0</v>
      </c>
      <c r="BE412" s="36">
        <v>0</v>
      </c>
      <c r="BF412" s="36">
        <f>O412</f>
        <v>0.001452</v>
      </c>
      <c r="BH412" s="24">
        <f>G412*AO412</f>
        <v>0</v>
      </c>
      <c r="BI412" s="24">
        <f>G412*AP412</f>
        <v>0</v>
      </c>
      <c r="BJ412" s="24">
        <f>G412*H412</f>
        <v>0</v>
      </c>
      <c r="BK412" s="24" t="s">
        <v>740</v>
      </c>
      <c r="BL412" s="36">
        <v>94</v>
      </c>
    </row>
    <row r="413" spans="1:16" ht="12.75">
      <c r="A413" s="91"/>
      <c r="B413" s="94"/>
      <c r="C413" s="93" t="s">
        <v>531</v>
      </c>
      <c r="E413" s="95" t="s">
        <v>623</v>
      </c>
      <c r="F413" s="94"/>
      <c r="G413" s="97">
        <v>1.2</v>
      </c>
      <c r="H413" s="94"/>
      <c r="I413" s="94"/>
      <c r="J413" s="94"/>
      <c r="K413" s="94"/>
      <c r="L413" s="94"/>
      <c r="M413" s="90"/>
      <c r="N413" s="99"/>
      <c r="O413" s="87"/>
      <c r="P413" s="85"/>
    </row>
    <row r="414" spans="1:47" ht="12.75">
      <c r="A414" s="4"/>
      <c r="B414" s="13" t="s">
        <v>101</v>
      </c>
      <c r="C414" s="160" t="s">
        <v>532</v>
      </c>
      <c r="D414" s="161"/>
      <c r="E414" s="161"/>
      <c r="F414" s="22" t="s">
        <v>6</v>
      </c>
      <c r="G414" s="22" t="s">
        <v>6</v>
      </c>
      <c r="H414" s="22" t="s">
        <v>6</v>
      </c>
      <c r="I414" s="43">
        <f>SUM(I415:I415)</f>
        <v>0</v>
      </c>
      <c r="J414" s="43">
        <f>SUM(J415:J415)</f>
        <v>0</v>
      </c>
      <c r="K414" s="43">
        <f>SUM(K415:K415)</f>
        <v>0</v>
      </c>
      <c r="L414" s="34"/>
      <c r="M414" s="34"/>
      <c r="N414" s="34"/>
      <c r="O414" s="46">
        <f>SUM(O415:O415)</f>
        <v>0</v>
      </c>
      <c r="P414" s="6"/>
      <c r="AI414" s="34" t="s">
        <v>691</v>
      </c>
      <c r="AS414" s="43">
        <f>SUM(AJ415:AJ415)</f>
        <v>0</v>
      </c>
      <c r="AT414" s="43">
        <f>SUM(AK415:AK415)</f>
        <v>0</v>
      </c>
      <c r="AU414" s="43">
        <f>SUM(AL415:AL415)</f>
        <v>0</v>
      </c>
    </row>
    <row r="415" spans="1:64" ht="12.75">
      <c r="A415" s="80" t="s">
        <v>119</v>
      </c>
      <c r="B415" s="80" t="s">
        <v>252</v>
      </c>
      <c r="C415" s="162" t="s">
        <v>533</v>
      </c>
      <c r="D415" s="157"/>
      <c r="E415" s="164"/>
      <c r="F415" s="80" t="s">
        <v>653</v>
      </c>
      <c r="G415" s="83">
        <v>110</v>
      </c>
      <c r="H415" s="83">
        <v>0</v>
      </c>
      <c r="I415" s="83">
        <f>G415*AO415</f>
        <v>0</v>
      </c>
      <c r="J415" s="83">
        <f>G415*AP415</f>
        <v>0</v>
      </c>
      <c r="K415" s="83">
        <f>G415*H415</f>
        <v>0</v>
      </c>
      <c r="L415" s="83">
        <v>0</v>
      </c>
      <c r="M415" s="82">
        <v>0</v>
      </c>
      <c r="N415" s="84">
        <v>0</v>
      </c>
      <c r="O415" s="82">
        <f>G415*N415</f>
        <v>0</v>
      </c>
      <c r="P415" s="85"/>
      <c r="Z415" s="36">
        <f>IF(AQ415="5",BJ415,0)</f>
        <v>0</v>
      </c>
      <c r="AB415" s="36">
        <f>IF(AQ415="1",BH415,0)</f>
        <v>0</v>
      </c>
      <c r="AC415" s="36">
        <f>IF(AQ415="1",BI415,0)</f>
        <v>0</v>
      </c>
      <c r="AD415" s="36">
        <f>IF(AQ415="7",BH415,0)</f>
        <v>0</v>
      </c>
      <c r="AE415" s="36">
        <f>IF(AQ415="7",BI415,0)</f>
        <v>0</v>
      </c>
      <c r="AF415" s="36">
        <f>IF(AQ415="2",BH415,0)</f>
        <v>0</v>
      </c>
      <c r="AG415" s="36">
        <f>IF(AQ415="2",BI415,0)</f>
        <v>0</v>
      </c>
      <c r="AH415" s="36">
        <f>IF(AQ415="0",BJ415,0)</f>
        <v>0</v>
      </c>
      <c r="AI415" s="34" t="s">
        <v>691</v>
      </c>
      <c r="AJ415" s="24">
        <f>IF(AN415=0,K415,0)</f>
        <v>0</v>
      </c>
      <c r="AK415" s="24">
        <f>IF(AN415=15,K415,0)</f>
        <v>0</v>
      </c>
      <c r="AL415" s="24">
        <f>IF(AN415=21,K415,0)</f>
        <v>0</v>
      </c>
      <c r="AN415" s="36">
        <v>21</v>
      </c>
      <c r="AO415" s="36">
        <f>H415*0.00170164492342598</f>
        <v>0</v>
      </c>
      <c r="AP415" s="36">
        <f>H415*(1-0.00170164492342598)</f>
        <v>0</v>
      </c>
      <c r="AQ415" s="37" t="s">
        <v>7</v>
      </c>
      <c r="AV415" s="36">
        <f>AW415+AX415</f>
        <v>0</v>
      </c>
      <c r="AW415" s="36">
        <f>G415*AO415</f>
        <v>0</v>
      </c>
      <c r="AX415" s="36">
        <f>G415*AP415</f>
        <v>0</v>
      </c>
      <c r="AY415" s="39" t="s">
        <v>714</v>
      </c>
      <c r="AZ415" s="39" t="s">
        <v>733</v>
      </c>
      <c r="BA415" s="34" t="s">
        <v>735</v>
      </c>
      <c r="BC415" s="36">
        <f>AW415+AX415</f>
        <v>0</v>
      </c>
      <c r="BD415" s="36">
        <f>H415/(100-BE415)*100</f>
        <v>0</v>
      </c>
      <c r="BE415" s="36">
        <v>0</v>
      </c>
      <c r="BF415" s="36">
        <f>O415</f>
        <v>0</v>
      </c>
      <c r="BH415" s="24">
        <f>G415*AO415</f>
        <v>0</v>
      </c>
      <c r="BI415" s="24">
        <f>G415*AP415</f>
        <v>0</v>
      </c>
      <c r="BJ415" s="24">
        <f>G415*H415</f>
        <v>0</v>
      </c>
      <c r="BK415" s="24" t="s">
        <v>740</v>
      </c>
      <c r="BL415" s="36">
        <v>95</v>
      </c>
    </row>
    <row r="416" spans="1:47" ht="12.75">
      <c r="A416" s="4"/>
      <c r="B416" s="13" t="s">
        <v>253</v>
      </c>
      <c r="C416" s="160" t="s">
        <v>534</v>
      </c>
      <c r="D416" s="161"/>
      <c r="E416" s="161"/>
      <c r="F416" s="22" t="s">
        <v>6</v>
      </c>
      <c r="G416" s="22" t="s">
        <v>6</v>
      </c>
      <c r="H416" s="22" t="s">
        <v>6</v>
      </c>
      <c r="I416" s="43">
        <f>SUM(I417:I417)</f>
        <v>0</v>
      </c>
      <c r="J416" s="43">
        <f>SUM(J417:J417)</f>
        <v>0</v>
      </c>
      <c r="K416" s="43">
        <f>SUM(K417:K417)</f>
        <v>0</v>
      </c>
      <c r="L416" s="34"/>
      <c r="M416" s="34"/>
      <c r="N416" s="34"/>
      <c r="O416" s="46">
        <f>SUM(O417:O417)</f>
        <v>0</v>
      </c>
      <c r="P416" s="6"/>
      <c r="AI416" s="34" t="s">
        <v>691</v>
      </c>
      <c r="AS416" s="43">
        <f>SUM(AJ417:AJ417)</f>
        <v>0</v>
      </c>
      <c r="AT416" s="43">
        <f>SUM(AK417:AK417)</f>
        <v>0</v>
      </c>
      <c r="AU416" s="43">
        <f>SUM(AL417:AL417)</f>
        <v>0</v>
      </c>
    </row>
    <row r="417" spans="1:64" ht="12.75">
      <c r="A417" s="88" t="s">
        <v>120</v>
      </c>
      <c r="B417" s="88" t="s">
        <v>254</v>
      </c>
      <c r="C417" s="156" t="s">
        <v>535</v>
      </c>
      <c r="D417" s="157"/>
      <c r="E417" s="158"/>
      <c r="F417" s="88" t="s">
        <v>656</v>
      </c>
      <c r="G417" s="96">
        <v>15</v>
      </c>
      <c r="H417" s="96">
        <v>0</v>
      </c>
      <c r="I417" s="96">
        <f>G417*AO417</f>
        <v>0</v>
      </c>
      <c r="J417" s="96">
        <f>G417*AP417</f>
        <v>0</v>
      </c>
      <c r="K417" s="96">
        <f>G417*H417</f>
        <v>0</v>
      </c>
      <c r="L417" s="96">
        <v>0</v>
      </c>
      <c r="M417" s="81">
        <v>0</v>
      </c>
      <c r="N417" s="98">
        <v>0</v>
      </c>
      <c r="O417" s="81">
        <f>G417*N417</f>
        <v>0</v>
      </c>
      <c r="P417" s="85"/>
      <c r="Z417" s="36">
        <f>IF(AQ417="5",BJ417,0)</f>
        <v>0</v>
      </c>
      <c r="AB417" s="36">
        <f>IF(AQ417="1",BH417,0)</f>
        <v>0</v>
      </c>
      <c r="AC417" s="36">
        <f>IF(AQ417="1",BI417,0)</f>
        <v>0</v>
      </c>
      <c r="AD417" s="36">
        <f>IF(AQ417="7",BH417,0)</f>
        <v>0</v>
      </c>
      <c r="AE417" s="36">
        <f>IF(AQ417="7",BI417,0)</f>
        <v>0</v>
      </c>
      <c r="AF417" s="36">
        <f>IF(AQ417="2",BH417,0)</f>
        <v>0</v>
      </c>
      <c r="AG417" s="36">
        <f>IF(AQ417="2",BI417,0)</f>
        <v>0</v>
      </c>
      <c r="AH417" s="36">
        <f>IF(AQ417="0",BJ417,0)</f>
        <v>0</v>
      </c>
      <c r="AI417" s="34" t="s">
        <v>691</v>
      </c>
      <c r="AJ417" s="24">
        <f>IF(AN417=0,K417,0)</f>
        <v>0</v>
      </c>
      <c r="AK417" s="24">
        <f>IF(AN417=15,K417,0)</f>
        <v>0</v>
      </c>
      <c r="AL417" s="24">
        <f>IF(AN417=21,K417,0)</f>
        <v>0</v>
      </c>
      <c r="AN417" s="36">
        <v>21</v>
      </c>
      <c r="AO417" s="36">
        <f>H417*0</f>
        <v>0</v>
      </c>
      <c r="AP417" s="36">
        <f>H417*(1-0)</f>
        <v>0</v>
      </c>
      <c r="AQ417" s="37" t="s">
        <v>11</v>
      </c>
      <c r="AV417" s="36">
        <f>AW417+AX417</f>
        <v>0</v>
      </c>
      <c r="AW417" s="36">
        <f>G417*AO417</f>
        <v>0</v>
      </c>
      <c r="AX417" s="36">
        <f>G417*AP417</f>
        <v>0</v>
      </c>
      <c r="AY417" s="39" t="s">
        <v>715</v>
      </c>
      <c r="AZ417" s="39" t="s">
        <v>733</v>
      </c>
      <c r="BA417" s="34" t="s">
        <v>735</v>
      </c>
      <c r="BC417" s="36">
        <f>AW417+AX417</f>
        <v>0</v>
      </c>
      <c r="BD417" s="36">
        <f>H417/(100-BE417)*100</f>
        <v>0</v>
      </c>
      <c r="BE417" s="36">
        <v>0</v>
      </c>
      <c r="BF417" s="36">
        <f>O417</f>
        <v>0</v>
      </c>
      <c r="BH417" s="24">
        <f>G417*AO417</f>
        <v>0</v>
      </c>
      <c r="BI417" s="24">
        <f>G417*AP417</f>
        <v>0</v>
      </c>
      <c r="BJ417" s="24">
        <f>G417*H417</f>
        <v>0</v>
      </c>
      <c r="BK417" s="24" t="s">
        <v>740</v>
      </c>
      <c r="BL417" s="36" t="s">
        <v>253</v>
      </c>
    </row>
    <row r="418" spans="1:16" ht="12.75">
      <c r="A418" s="91"/>
      <c r="B418" s="94"/>
      <c r="C418" s="93" t="s">
        <v>21</v>
      </c>
      <c r="E418" s="95"/>
      <c r="F418" s="94"/>
      <c r="G418" s="97">
        <v>15</v>
      </c>
      <c r="H418" s="94"/>
      <c r="I418" s="94"/>
      <c r="J418" s="94"/>
      <c r="K418" s="94"/>
      <c r="L418" s="94"/>
      <c r="M418" s="90"/>
      <c r="N418" s="99"/>
      <c r="O418" s="87"/>
      <c r="P418" s="85"/>
    </row>
    <row r="419" spans="1:47" ht="12.75">
      <c r="A419" s="4"/>
      <c r="B419" s="13" t="s">
        <v>255</v>
      </c>
      <c r="C419" s="160" t="s">
        <v>536</v>
      </c>
      <c r="D419" s="161"/>
      <c r="E419" s="161"/>
      <c r="F419" s="22" t="s">
        <v>6</v>
      </c>
      <c r="G419" s="22" t="s">
        <v>6</v>
      </c>
      <c r="H419" s="22" t="s">
        <v>6</v>
      </c>
      <c r="I419" s="43">
        <f>SUM(I420:I433)</f>
        <v>0</v>
      </c>
      <c r="J419" s="43">
        <f>SUM(J420:J433)</f>
        <v>0</v>
      </c>
      <c r="K419" s="43">
        <f>SUM(K420:K433)</f>
        <v>0</v>
      </c>
      <c r="L419" s="34"/>
      <c r="M419" s="34"/>
      <c r="N419" s="34"/>
      <c r="O419" s="46">
        <f>SUM(O420:O433)</f>
        <v>0.03158</v>
      </c>
      <c r="P419" s="6"/>
      <c r="AI419" s="34" t="s">
        <v>691</v>
      </c>
      <c r="AS419" s="43">
        <f>SUM(AJ420:AJ433)</f>
        <v>0</v>
      </c>
      <c r="AT419" s="43">
        <f>SUM(AK420:AK433)</f>
        <v>0</v>
      </c>
      <c r="AU419" s="43">
        <f>SUM(AL420:AL433)</f>
        <v>0</v>
      </c>
    </row>
    <row r="420" spans="1:64" ht="12.75">
      <c r="A420" s="88" t="s">
        <v>121</v>
      </c>
      <c r="B420" s="88" t="s">
        <v>256</v>
      </c>
      <c r="C420" s="156" t="s">
        <v>537</v>
      </c>
      <c r="D420" s="157"/>
      <c r="E420" s="158"/>
      <c r="F420" s="88" t="s">
        <v>654</v>
      </c>
      <c r="G420" s="96">
        <v>5</v>
      </c>
      <c r="H420" s="96">
        <v>0</v>
      </c>
      <c r="I420" s="96">
        <f>G420*AO420</f>
        <v>0</v>
      </c>
      <c r="J420" s="96">
        <f>G420*AP420</f>
        <v>0</v>
      </c>
      <c r="K420" s="96">
        <f>G420*H420</f>
        <v>0</v>
      </c>
      <c r="L420" s="96">
        <v>0</v>
      </c>
      <c r="M420" s="81">
        <v>0</v>
      </c>
      <c r="N420" s="98">
        <v>0</v>
      </c>
      <c r="O420" s="81">
        <f>G420*N420</f>
        <v>0</v>
      </c>
      <c r="P420" s="85"/>
      <c r="Z420" s="36">
        <f>IF(AQ420="5",BJ420,0)</f>
        <v>0</v>
      </c>
      <c r="AB420" s="36">
        <f>IF(AQ420="1",BH420,0)</f>
        <v>0</v>
      </c>
      <c r="AC420" s="36">
        <f>IF(AQ420="1",BI420,0)</f>
        <v>0</v>
      </c>
      <c r="AD420" s="36">
        <f>IF(AQ420="7",BH420,0)</f>
        <v>0</v>
      </c>
      <c r="AE420" s="36">
        <f>IF(AQ420="7",BI420,0)</f>
        <v>0</v>
      </c>
      <c r="AF420" s="36">
        <f>IF(AQ420="2",BH420,0)</f>
        <v>0</v>
      </c>
      <c r="AG420" s="36">
        <f>IF(AQ420="2",BI420,0)</f>
        <v>0</v>
      </c>
      <c r="AH420" s="36">
        <f>IF(AQ420="0",BJ420,0)</f>
        <v>0</v>
      </c>
      <c r="AI420" s="34" t="s">
        <v>691</v>
      </c>
      <c r="AJ420" s="24">
        <f>IF(AN420=0,K420,0)</f>
        <v>0</v>
      </c>
      <c r="AK420" s="24">
        <f>IF(AN420=15,K420,0)</f>
        <v>0</v>
      </c>
      <c r="AL420" s="24">
        <f>IF(AN420=21,K420,0)</f>
        <v>0</v>
      </c>
      <c r="AN420" s="36">
        <v>21</v>
      </c>
      <c r="AO420" s="36">
        <f>H420*0</f>
        <v>0</v>
      </c>
      <c r="AP420" s="36">
        <f>H420*(1-0)</f>
        <v>0</v>
      </c>
      <c r="AQ420" s="37" t="s">
        <v>8</v>
      </c>
      <c r="AV420" s="36">
        <f>AW420+AX420</f>
        <v>0</v>
      </c>
      <c r="AW420" s="36">
        <f>G420*AO420</f>
        <v>0</v>
      </c>
      <c r="AX420" s="36">
        <f>G420*AP420</f>
        <v>0</v>
      </c>
      <c r="AY420" s="39" t="s">
        <v>716</v>
      </c>
      <c r="AZ420" s="39" t="s">
        <v>733</v>
      </c>
      <c r="BA420" s="34" t="s">
        <v>735</v>
      </c>
      <c r="BC420" s="36">
        <f>AW420+AX420</f>
        <v>0</v>
      </c>
      <c r="BD420" s="36">
        <f>H420/(100-BE420)*100</f>
        <v>0</v>
      </c>
      <c r="BE420" s="36">
        <v>0</v>
      </c>
      <c r="BF420" s="36">
        <f>O420</f>
        <v>0</v>
      </c>
      <c r="BH420" s="24">
        <f>G420*AO420</f>
        <v>0</v>
      </c>
      <c r="BI420" s="24">
        <f>G420*AP420</f>
        <v>0</v>
      </c>
      <c r="BJ420" s="24">
        <f>G420*H420</f>
        <v>0</v>
      </c>
      <c r="BK420" s="24" t="s">
        <v>740</v>
      </c>
      <c r="BL420" s="36" t="s">
        <v>255</v>
      </c>
    </row>
    <row r="421" spans="1:16" ht="12.75">
      <c r="A421" s="100"/>
      <c r="B421" s="101"/>
      <c r="C421" s="92" t="s">
        <v>8</v>
      </c>
      <c r="E421" s="102" t="s">
        <v>631</v>
      </c>
      <c r="F421" s="101"/>
      <c r="G421" s="103">
        <v>2</v>
      </c>
      <c r="H421" s="101"/>
      <c r="I421" s="101"/>
      <c r="J421" s="101"/>
      <c r="K421" s="101"/>
      <c r="L421" s="101"/>
      <c r="M421" s="89"/>
      <c r="N421" s="104"/>
      <c r="O421" s="86"/>
      <c r="P421" s="85"/>
    </row>
    <row r="422" spans="1:16" ht="12.75">
      <c r="A422" s="91"/>
      <c r="B422" s="94"/>
      <c r="C422" s="93" t="s">
        <v>9</v>
      </c>
      <c r="E422" s="95" t="s">
        <v>629</v>
      </c>
      <c r="F422" s="94"/>
      <c r="G422" s="97">
        <v>3</v>
      </c>
      <c r="H422" s="94"/>
      <c r="I422" s="94"/>
      <c r="J422" s="94"/>
      <c r="K422" s="94"/>
      <c r="L422" s="94"/>
      <c r="M422" s="90"/>
      <c r="N422" s="99"/>
      <c r="O422" s="87"/>
      <c r="P422" s="85"/>
    </row>
    <row r="423" spans="1:16" ht="25.5" customHeight="1">
      <c r="A423" s="6"/>
      <c r="B423" s="16" t="s">
        <v>137</v>
      </c>
      <c r="C423" s="165" t="s">
        <v>538</v>
      </c>
      <c r="D423" s="166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7"/>
      <c r="P423" s="6"/>
    </row>
    <row r="424" spans="1:64" ht="12.75">
      <c r="A424" s="80" t="s">
        <v>122</v>
      </c>
      <c r="B424" s="80" t="s">
        <v>257</v>
      </c>
      <c r="C424" s="162" t="s">
        <v>539</v>
      </c>
      <c r="D424" s="157"/>
      <c r="E424" s="164"/>
      <c r="F424" s="80" t="s">
        <v>657</v>
      </c>
      <c r="G424" s="83">
        <v>2</v>
      </c>
      <c r="H424" s="83">
        <v>0</v>
      </c>
      <c r="I424" s="83">
        <f>G424*AO424</f>
        <v>0</v>
      </c>
      <c r="J424" s="83">
        <f>G424*AP424</f>
        <v>0</v>
      </c>
      <c r="K424" s="83">
        <f>G424*H424</f>
        <v>0</v>
      </c>
      <c r="L424" s="83">
        <v>4E-05</v>
      </c>
      <c r="M424" s="82">
        <v>0</v>
      </c>
      <c r="N424" s="84">
        <v>4E-05</v>
      </c>
      <c r="O424" s="82">
        <f>G424*N424</f>
        <v>8E-05</v>
      </c>
      <c r="P424" s="85"/>
      <c r="Z424" s="36">
        <f>IF(AQ424="5",BJ424,0)</f>
        <v>0</v>
      </c>
      <c r="AB424" s="36">
        <f>IF(AQ424="1",BH424,0)</f>
        <v>0</v>
      </c>
      <c r="AC424" s="36">
        <f>IF(AQ424="1",BI424,0)</f>
        <v>0</v>
      </c>
      <c r="AD424" s="36">
        <f>IF(AQ424="7",BH424,0)</f>
        <v>0</v>
      </c>
      <c r="AE424" s="36">
        <f>IF(AQ424="7",BI424,0)</f>
        <v>0</v>
      </c>
      <c r="AF424" s="36">
        <f>IF(AQ424="2",BH424,0)</f>
        <v>0</v>
      </c>
      <c r="AG424" s="36">
        <f>IF(AQ424="2",BI424,0)</f>
        <v>0</v>
      </c>
      <c r="AH424" s="36">
        <f>IF(AQ424="0",BJ424,0)</f>
        <v>0</v>
      </c>
      <c r="AI424" s="34" t="s">
        <v>691</v>
      </c>
      <c r="AJ424" s="24">
        <f>IF(AN424=0,K424,0)</f>
        <v>0</v>
      </c>
      <c r="AK424" s="24">
        <f>IF(AN424=15,K424,0)</f>
        <v>0</v>
      </c>
      <c r="AL424" s="24">
        <f>IF(AN424=21,K424,0)</f>
        <v>0</v>
      </c>
      <c r="AN424" s="36">
        <v>21</v>
      </c>
      <c r="AO424" s="36">
        <f>H424*0.122895277207392</f>
        <v>0</v>
      </c>
      <c r="AP424" s="36">
        <f>H424*(1-0.122895277207392)</f>
        <v>0</v>
      </c>
      <c r="AQ424" s="37" t="s">
        <v>8</v>
      </c>
      <c r="AV424" s="36">
        <f>AW424+AX424</f>
        <v>0</v>
      </c>
      <c r="AW424" s="36">
        <f>G424*AO424</f>
        <v>0</v>
      </c>
      <c r="AX424" s="36">
        <f>G424*AP424</f>
        <v>0</v>
      </c>
      <c r="AY424" s="39" t="s">
        <v>716</v>
      </c>
      <c r="AZ424" s="39" t="s">
        <v>733</v>
      </c>
      <c r="BA424" s="34" t="s">
        <v>735</v>
      </c>
      <c r="BC424" s="36">
        <f>AW424+AX424</f>
        <v>0</v>
      </c>
      <c r="BD424" s="36">
        <f>H424/(100-BE424)*100</f>
        <v>0</v>
      </c>
      <c r="BE424" s="36">
        <v>0</v>
      </c>
      <c r="BF424" s="36">
        <f>O424</f>
        <v>8E-05</v>
      </c>
      <c r="BH424" s="24">
        <f>G424*AO424</f>
        <v>0</v>
      </c>
      <c r="BI424" s="24">
        <f>G424*AP424</f>
        <v>0</v>
      </c>
      <c r="BJ424" s="24">
        <f>G424*H424</f>
        <v>0</v>
      </c>
      <c r="BK424" s="24" t="s">
        <v>740</v>
      </c>
      <c r="BL424" s="36" t="s">
        <v>255</v>
      </c>
    </row>
    <row r="425" spans="1:16" ht="12.75">
      <c r="A425" s="6"/>
      <c r="B425" s="15" t="s">
        <v>151</v>
      </c>
      <c r="C425" s="168" t="s">
        <v>540</v>
      </c>
      <c r="D425" s="169"/>
      <c r="E425" s="169"/>
      <c r="F425" s="169"/>
      <c r="G425" s="169"/>
      <c r="H425" s="169"/>
      <c r="I425" s="169"/>
      <c r="J425" s="169"/>
      <c r="K425" s="169"/>
      <c r="L425" s="169"/>
      <c r="M425" s="169"/>
      <c r="N425" s="169"/>
      <c r="O425" s="170"/>
      <c r="P425" s="6"/>
    </row>
    <row r="426" spans="1:16" ht="12.75">
      <c r="A426" s="6"/>
      <c r="B426" s="16" t="s">
        <v>137</v>
      </c>
      <c r="C426" s="165" t="s">
        <v>541</v>
      </c>
      <c r="D426" s="166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7"/>
      <c r="P426" s="6"/>
    </row>
    <row r="427" spans="1:64" ht="12.75">
      <c r="A427" s="80" t="s">
        <v>123</v>
      </c>
      <c r="B427" s="80" t="s">
        <v>258</v>
      </c>
      <c r="C427" s="162" t="s">
        <v>542</v>
      </c>
      <c r="D427" s="157"/>
      <c r="E427" s="164"/>
      <c r="F427" s="80" t="s">
        <v>657</v>
      </c>
      <c r="G427" s="83">
        <v>4</v>
      </c>
      <c r="H427" s="83">
        <v>0</v>
      </c>
      <c r="I427" s="83">
        <f>G427*AO427</f>
        <v>0</v>
      </c>
      <c r="J427" s="83">
        <f>G427*AP427</f>
        <v>0</v>
      </c>
      <c r="K427" s="83">
        <f>G427*H427</f>
        <v>0</v>
      </c>
      <c r="L427" s="83">
        <v>0</v>
      </c>
      <c r="M427" s="82">
        <v>0</v>
      </c>
      <c r="N427" s="84">
        <v>0</v>
      </c>
      <c r="O427" s="82">
        <f>G427*N427</f>
        <v>0</v>
      </c>
      <c r="P427" s="85"/>
      <c r="Z427" s="36">
        <f>IF(AQ427="5",BJ427,0)</f>
        <v>0</v>
      </c>
      <c r="AB427" s="36">
        <f>IF(AQ427="1",BH427,0)</f>
        <v>0</v>
      </c>
      <c r="AC427" s="36">
        <f>IF(AQ427="1",BI427,0)</f>
        <v>0</v>
      </c>
      <c r="AD427" s="36">
        <f>IF(AQ427="7",BH427,0)</f>
        <v>0</v>
      </c>
      <c r="AE427" s="36">
        <f>IF(AQ427="7",BI427,0)</f>
        <v>0</v>
      </c>
      <c r="AF427" s="36">
        <f>IF(AQ427="2",BH427,0)</f>
        <v>0</v>
      </c>
      <c r="AG427" s="36">
        <f>IF(AQ427="2",BI427,0)</f>
        <v>0</v>
      </c>
      <c r="AH427" s="36">
        <f>IF(AQ427="0",BJ427,0)</f>
        <v>0</v>
      </c>
      <c r="AI427" s="34" t="s">
        <v>691</v>
      </c>
      <c r="AJ427" s="24">
        <f>IF(AN427=0,K427,0)</f>
        <v>0</v>
      </c>
      <c r="AK427" s="24">
        <f>IF(AN427=15,K427,0)</f>
        <v>0</v>
      </c>
      <c r="AL427" s="24">
        <f>IF(AN427=21,K427,0)</f>
        <v>0</v>
      </c>
      <c r="AN427" s="36">
        <v>21</v>
      </c>
      <c r="AO427" s="36">
        <f>H427*0</f>
        <v>0</v>
      </c>
      <c r="AP427" s="36">
        <f>H427*(1-0)</f>
        <v>0</v>
      </c>
      <c r="AQ427" s="37" t="s">
        <v>8</v>
      </c>
      <c r="AV427" s="36">
        <f>AW427+AX427</f>
        <v>0</v>
      </c>
      <c r="AW427" s="36">
        <f>G427*AO427</f>
        <v>0</v>
      </c>
      <c r="AX427" s="36">
        <f>G427*AP427</f>
        <v>0</v>
      </c>
      <c r="AY427" s="39" t="s">
        <v>716</v>
      </c>
      <c r="AZ427" s="39" t="s">
        <v>733</v>
      </c>
      <c r="BA427" s="34" t="s">
        <v>735</v>
      </c>
      <c r="BC427" s="36">
        <f>AW427+AX427</f>
        <v>0</v>
      </c>
      <c r="BD427" s="36">
        <f>H427/(100-BE427)*100</f>
        <v>0</v>
      </c>
      <c r="BE427" s="36">
        <v>0</v>
      </c>
      <c r="BF427" s="36">
        <f>O427</f>
        <v>0</v>
      </c>
      <c r="BH427" s="24">
        <f>G427*AO427</f>
        <v>0</v>
      </c>
      <c r="BI427" s="24">
        <f>G427*AP427</f>
        <v>0</v>
      </c>
      <c r="BJ427" s="24">
        <f>G427*H427</f>
        <v>0</v>
      </c>
      <c r="BK427" s="24" t="s">
        <v>740</v>
      </c>
      <c r="BL427" s="36" t="s">
        <v>255</v>
      </c>
    </row>
    <row r="428" spans="1:16" ht="12.75">
      <c r="A428" s="6"/>
      <c r="B428" s="16" t="s">
        <v>137</v>
      </c>
      <c r="C428" s="165" t="s">
        <v>541</v>
      </c>
      <c r="D428" s="166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7"/>
      <c r="P428" s="6"/>
    </row>
    <row r="429" spans="1:64" ht="12.75">
      <c r="A429" s="80" t="s">
        <v>124</v>
      </c>
      <c r="B429" s="80" t="s">
        <v>259</v>
      </c>
      <c r="C429" s="162" t="s">
        <v>543</v>
      </c>
      <c r="D429" s="157"/>
      <c r="E429" s="164"/>
      <c r="F429" s="80" t="s">
        <v>657</v>
      </c>
      <c r="G429" s="83">
        <v>2</v>
      </c>
      <c r="H429" s="83">
        <v>0</v>
      </c>
      <c r="I429" s="83">
        <f>G429*AO429</f>
        <v>0</v>
      </c>
      <c r="J429" s="83">
        <f>G429*AP429</f>
        <v>0</v>
      </c>
      <c r="K429" s="83">
        <f>G429*H429</f>
        <v>0</v>
      </c>
      <c r="L429" s="83">
        <v>0</v>
      </c>
      <c r="M429" s="82">
        <v>0</v>
      </c>
      <c r="N429" s="84">
        <v>0</v>
      </c>
      <c r="O429" s="82">
        <f>G429*N429</f>
        <v>0</v>
      </c>
      <c r="P429" s="85"/>
      <c r="Z429" s="36">
        <f>IF(AQ429="5",BJ429,0)</f>
        <v>0</v>
      </c>
      <c r="AB429" s="36">
        <f>IF(AQ429="1",BH429,0)</f>
        <v>0</v>
      </c>
      <c r="AC429" s="36">
        <f>IF(AQ429="1",BI429,0)</f>
        <v>0</v>
      </c>
      <c r="AD429" s="36">
        <f>IF(AQ429="7",BH429,0)</f>
        <v>0</v>
      </c>
      <c r="AE429" s="36">
        <f>IF(AQ429="7",BI429,0)</f>
        <v>0</v>
      </c>
      <c r="AF429" s="36">
        <f>IF(AQ429="2",BH429,0)</f>
        <v>0</v>
      </c>
      <c r="AG429" s="36">
        <f>IF(AQ429="2",BI429,0)</f>
        <v>0</v>
      </c>
      <c r="AH429" s="36">
        <f>IF(AQ429="0",BJ429,0)</f>
        <v>0</v>
      </c>
      <c r="AI429" s="34" t="s">
        <v>691</v>
      </c>
      <c r="AJ429" s="24">
        <f>IF(AN429=0,K429,0)</f>
        <v>0</v>
      </c>
      <c r="AK429" s="24">
        <f>IF(AN429=15,K429,0)</f>
        <v>0</v>
      </c>
      <c r="AL429" s="24">
        <f>IF(AN429=21,K429,0)</f>
        <v>0</v>
      </c>
      <c r="AN429" s="36">
        <v>21</v>
      </c>
      <c r="AO429" s="36">
        <f>H429*0</f>
        <v>0</v>
      </c>
      <c r="AP429" s="36">
        <f>H429*(1-0)</f>
        <v>0</v>
      </c>
      <c r="AQ429" s="37" t="s">
        <v>8</v>
      </c>
      <c r="AV429" s="36">
        <f>AW429+AX429</f>
        <v>0</v>
      </c>
      <c r="AW429" s="36">
        <f>G429*AO429</f>
        <v>0</v>
      </c>
      <c r="AX429" s="36">
        <f>G429*AP429</f>
        <v>0</v>
      </c>
      <c r="AY429" s="39" t="s">
        <v>716</v>
      </c>
      <c r="AZ429" s="39" t="s">
        <v>733</v>
      </c>
      <c r="BA429" s="34" t="s">
        <v>735</v>
      </c>
      <c r="BC429" s="36">
        <f>AW429+AX429</f>
        <v>0</v>
      </c>
      <c r="BD429" s="36">
        <f>H429/(100-BE429)*100</f>
        <v>0</v>
      </c>
      <c r="BE429" s="36">
        <v>0</v>
      </c>
      <c r="BF429" s="36">
        <f>O429</f>
        <v>0</v>
      </c>
      <c r="BH429" s="24">
        <f>G429*AO429</f>
        <v>0</v>
      </c>
      <c r="BI429" s="24">
        <f>G429*AP429</f>
        <v>0</v>
      </c>
      <c r="BJ429" s="24">
        <f>G429*H429</f>
        <v>0</v>
      </c>
      <c r="BK429" s="24" t="s">
        <v>740</v>
      </c>
      <c r="BL429" s="36" t="s">
        <v>255</v>
      </c>
    </row>
    <row r="430" spans="1:16" ht="12.75">
      <c r="A430" s="6"/>
      <c r="B430" s="16" t="s">
        <v>137</v>
      </c>
      <c r="C430" s="165" t="s">
        <v>544</v>
      </c>
      <c r="D430" s="166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7"/>
      <c r="P430" s="6"/>
    </row>
    <row r="431" spans="1:64" ht="12.75">
      <c r="A431" s="80" t="s">
        <v>125</v>
      </c>
      <c r="B431" s="80" t="s">
        <v>260</v>
      </c>
      <c r="C431" s="162" t="s">
        <v>545</v>
      </c>
      <c r="D431" s="157"/>
      <c r="E431" s="164"/>
      <c r="F431" s="80" t="s">
        <v>654</v>
      </c>
      <c r="G431" s="83">
        <v>30</v>
      </c>
      <c r="H431" s="83">
        <v>0</v>
      </c>
      <c r="I431" s="83">
        <f>G431*AO431</f>
        <v>0</v>
      </c>
      <c r="J431" s="83">
        <f>G431*AP431</f>
        <v>0</v>
      </c>
      <c r="K431" s="83">
        <f>G431*H431</f>
        <v>0</v>
      </c>
      <c r="L431" s="83">
        <v>0.00105</v>
      </c>
      <c r="M431" s="82">
        <v>0</v>
      </c>
      <c r="N431" s="84">
        <v>0.00105</v>
      </c>
      <c r="O431" s="82">
        <f>G431*N431</f>
        <v>0.0315</v>
      </c>
      <c r="P431" s="85"/>
      <c r="Z431" s="36">
        <f>IF(AQ431="5",BJ431,0)</f>
        <v>0</v>
      </c>
      <c r="AB431" s="36">
        <f>IF(AQ431="1",BH431,0)</f>
        <v>0</v>
      </c>
      <c r="AC431" s="36">
        <f>IF(AQ431="1",BI431,0)</f>
        <v>0</v>
      </c>
      <c r="AD431" s="36">
        <f>IF(AQ431="7",BH431,0)</f>
        <v>0</v>
      </c>
      <c r="AE431" s="36">
        <f>IF(AQ431="7",BI431,0)</f>
        <v>0</v>
      </c>
      <c r="AF431" s="36">
        <f>IF(AQ431="2",BH431,0)</f>
        <v>0</v>
      </c>
      <c r="AG431" s="36">
        <f>IF(AQ431="2",BI431,0)</f>
        <v>0</v>
      </c>
      <c r="AH431" s="36">
        <f>IF(AQ431="0",BJ431,0)</f>
        <v>0</v>
      </c>
      <c r="AI431" s="34" t="s">
        <v>691</v>
      </c>
      <c r="AJ431" s="24">
        <f>IF(AN431=0,K431,0)</f>
        <v>0</v>
      </c>
      <c r="AK431" s="24">
        <f>IF(AN431=15,K431,0)</f>
        <v>0</v>
      </c>
      <c r="AL431" s="24">
        <f>IF(AN431=21,K431,0)</f>
        <v>0</v>
      </c>
      <c r="AN431" s="36">
        <v>21</v>
      </c>
      <c r="AO431" s="36">
        <f>H431*0.350839694656489</f>
        <v>0</v>
      </c>
      <c r="AP431" s="36">
        <f>H431*(1-0.350839694656489)</f>
        <v>0</v>
      </c>
      <c r="AQ431" s="37" t="s">
        <v>8</v>
      </c>
      <c r="AV431" s="36">
        <f>AW431+AX431</f>
        <v>0</v>
      </c>
      <c r="AW431" s="36">
        <f>G431*AO431</f>
        <v>0</v>
      </c>
      <c r="AX431" s="36">
        <f>G431*AP431</f>
        <v>0</v>
      </c>
      <c r="AY431" s="39" t="s">
        <v>716</v>
      </c>
      <c r="AZ431" s="39" t="s">
        <v>733</v>
      </c>
      <c r="BA431" s="34" t="s">
        <v>735</v>
      </c>
      <c r="BC431" s="36">
        <f>AW431+AX431</f>
        <v>0</v>
      </c>
      <c r="BD431" s="36">
        <f>H431/(100-BE431)*100</f>
        <v>0</v>
      </c>
      <c r="BE431" s="36">
        <v>0</v>
      </c>
      <c r="BF431" s="36">
        <f>O431</f>
        <v>0.0315</v>
      </c>
      <c r="BH431" s="24">
        <f>G431*AO431</f>
        <v>0</v>
      </c>
      <c r="BI431" s="24">
        <f>G431*AP431</f>
        <v>0</v>
      </c>
      <c r="BJ431" s="24">
        <f>G431*H431</f>
        <v>0</v>
      </c>
      <c r="BK431" s="24" t="s">
        <v>740</v>
      </c>
      <c r="BL431" s="36" t="s">
        <v>255</v>
      </c>
    </row>
    <row r="432" spans="1:16" ht="12.75">
      <c r="A432" s="6"/>
      <c r="B432" s="15" t="s">
        <v>151</v>
      </c>
      <c r="C432" s="168" t="s">
        <v>546</v>
      </c>
      <c r="D432" s="169"/>
      <c r="E432" s="169"/>
      <c r="F432" s="169"/>
      <c r="G432" s="169"/>
      <c r="H432" s="169"/>
      <c r="I432" s="169"/>
      <c r="J432" s="169"/>
      <c r="K432" s="169"/>
      <c r="L432" s="169"/>
      <c r="M432" s="169"/>
      <c r="N432" s="169"/>
      <c r="O432" s="170"/>
      <c r="P432" s="6"/>
    </row>
    <row r="433" spans="1:64" ht="12.75">
      <c r="A433" s="80" t="s">
        <v>126</v>
      </c>
      <c r="B433" s="80" t="s">
        <v>261</v>
      </c>
      <c r="C433" s="162" t="s">
        <v>547</v>
      </c>
      <c r="D433" s="157"/>
      <c r="E433" s="164"/>
      <c r="F433" s="80" t="s">
        <v>660</v>
      </c>
      <c r="G433" s="83">
        <v>4</v>
      </c>
      <c r="H433" s="83">
        <v>0</v>
      </c>
      <c r="I433" s="83">
        <f>G433*AO433</f>
        <v>0</v>
      </c>
      <c r="J433" s="83">
        <f>G433*AP433</f>
        <v>0</v>
      </c>
      <c r="K433" s="83">
        <f>G433*H433</f>
        <v>0</v>
      </c>
      <c r="L433" s="83">
        <v>0</v>
      </c>
      <c r="M433" s="82">
        <v>0</v>
      </c>
      <c r="N433" s="84">
        <v>0</v>
      </c>
      <c r="O433" s="82">
        <f>G433*N433</f>
        <v>0</v>
      </c>
      <c r="P433" s="85"/>
      <c r="Z433" s="36">
        <f>IF(AQ433="5",BJ433,0)</f>
        <v>0</v>
      </c>
      <c r="AB433" s="36">
        <f>IF(AQ433="1",BH433,0)</f>
        <v>0</v>
      </c>
      <c r="AC433" s="36">
        <f>IF(AQ433="1",BI433,0)</f>
        <v>0</v>
      </c>
      <c r="AD433" s="36">
        <f>IF(AQ433="7",BH433,0)</f>
        <v>0</v>
      </c>
      <c r="AE433" s="36">
        <f>IF(AQ433="7",BI433,0)</f>
        <v>0</v>
      </c>
      <c r="AF433" s="36">
        <f>IF(AQ433="2",BH433,0)</f>
        <v>0</v>
      </c>
      <c r="AG433" s="36">
        <f>IF(AQ433="2",BI433,0)</f>
        <v>0</v>
      </c>
      <c r="AH433" s="36">
        <f>IF(AQ433="0",BJ433,0)</f>
        <v>0</v>
      </c>
      <c r="AI433" s="34" t="s">
        <v>691</v>
      </c>
      <c r="AJ433" s="24">
        <f>IF(AN433=0,K433,0)</f>
        <v>0</v>
      </c>
      <c r="AK433" s="24">
        <f>IF(AN433=15,K433,0)</f>
        <v>0</v>
      </c>
      <c r="AL433" s="24">
        <f>IF(AN433=21,K433,0)</f>
        <v>0</v>
      </c>
      <c r="AN433" s="36">
        <v>21</v>
      </c>
      <c r="AO433" s="36">
        <f>H433*0</f>
        <v>0</v>
      </c>
      <c r="AP433" s="36">
        <f>H433*(1-0)</f>
        <v>0</v>
      </c>
      <c r="AQ433" s="37" t="s">
        <v>8</v>
      </c>
      <c r="AV433" s="36">
        <f>AW433+AX433</f>
        <v>0</v>
      </c>
      <c r="AW433" s="36">
        <f>G433*AO433</f>
        <v>0</v>
      </c>
      <c r="AX433" s="36">
        <f>G433*AP433</f>
        <v>0</v>
      </c>
      <c r="AY433" s="39" t="s">
        <v>716</v>
      </c>
      <c r="AZ433" s="39" t="s">
        <v>733</v>
      </c>
      <c r="BA433" s="34" t="s">
        <v>735</v>
      </c>
      <c r="BC433" s="36">
        <f>AW433+AX433</f>
        <v>0</v>
      </c>
      <c r="BD433" s="36">
        <f>H433/(100-BE433)*100</f>
        <v>0</v>
      </c>
      <c r="BE433" s="36">
        <v>0</v>
      </c>
      <c r="BF433" s="36">
        <f>O433</f>
        <v>0</v>
      </c>
      <c r="BH433" s="24">
        <f>G433*AO433</f>
        <v>0</v>
      </c>
      <c r="BI433" s="24">
        <f>G433*AP433</f>
        <v>0</v>
      </c>
      <c r="BJ433" s="24">
        <f>G433*H433</f>
        <v>0</v>
      </c>
      <c r="BK433" s="24" t="s">
        <v>740</v>
      </c>
      <c r="BL433" s="36" t="s">
        <v>255</v>
      </c>
    </row>
    <row r="434" spans="1:16" ht="12.75">
      <c r="A434" s="6"/>
      <c r="B434" s="16" t="s">
        <v>137</v>
      </c>
      <c r="C434" s="165" t="s">
        <v>548</v>
      </c>
      <c r="D434" s="166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7"/>
      <c r="P434" s="6"/>
    </row>
    <row r="435" spans="1:47" ht="12.75">
      <c r="A435" s="4"/>
      <c r="B435" s="13" t="s">
        <v>262</v>
      </c>
      <c r="C435" s="160" t="s">
        <v>549</v>
      </c>
      <c r="D435" s="161"/>
      <c r="E435" s="161"/>
      <c r="F435" s="22" t="s">
        <v>6</v>
      </c>
      <c r="G435" s="22" t="s">
        <v>6</v>
      </c>
      <c r="H435" s="22" t="s">
        <v>6</v>
      </c>
      <c r="I435" s="43">
        <f>SUM(I436:I436)</f>
        <v>0</v>
      </c>
      <c r="J435" s="43">
        <f>SUM(J436:J436)</f>
        <v>0</v>
      </c>
      <c r="K435" s="43">
        <f>SUM(K436:K436)</f>
        <v>0</v>
      </c>
      <c r="L435" s="34"/>
      <c r="M435" s="34"/>
      <c r="N435" s="34"/>
      <c r="O435" s="46">
        <f>SUM(O436:O436)</f>
        <v>0</v>
      </c>
      <c r="P435" s="6"/>
      <c r="AI435" s="34" t="s">
        <v>691</v>
      </c>
      <c r="AS435" s="43">
        <f>SUM(AJ436:AJ436)</f>
        <v>0</v>
      </c>
      <c r="AT435" s="43">
        <f>SUM(AK436:AK436)</f>
        <v>0</v>
      </c>
      <c r="AU435" s="43">
        <f>SUM(AL436:AL436)</f>
        <v>0</v>
      </c>
    </row>
    <row r="436" spans="1:64" ht="12.75">
      <c r="A436" s="80" t="s">
        <v>127</v>
      </c>
      <c r="B436" s="80" t="s">
        <v>263</v>
      </c>
      <c r="C436" s="162" t="s">
        <v>550</v>
      </c>
      <c r="D436" s="157"/>
      <c r="E436" s="164"/>
      <c r="F436" s="80" t="s">
        <v>660</v>
      </c>
      <c r="G436" s="83">
        <v>30</v>
      </c>
      <c r="H436" s="83">
        <v>0</v>
      </c>
      <c r="I436" s="83">
        <f>G436*AO436</f>
        <v>0</v>
      </c>
      <c r="J436" s="83">
        <f>G436*AP436</f>
        <v>0</v>
      </c>
      <c r="K436" s="83">
        <f>G436*H436</f>
        <v>0</v>
      </c>
      <c r="L436" s="83">
        <v>0</v>
      </c>
      <c r="M436" s="82">
        <v>0</v>
      </c>
      <c r="N436" s="84">
        <v>0</v>
      </c>
      <c r="O436" s="82">
        <f>G436*N436</f>
        <v>0</v>
      </c>
      <c r="P436" s="85"/>
      <c r="Z436" s="36">
        <f>IF(AQ436="5",BJ436,0)</f>
        <v>0</v>
      </c>
      <c r="AB436" s="36">
        <f>IF(AQ436="1",BH436,0)</f>
        <v>0</v>
      </c>
      <c r="AC436" s="36">
        <f>IF(AQ436="1",BI436,0)</f>
        <v>0</v>
      </c>
      <c r="AD436" s="36">
        <f>IF(AQ436="7",BH436,0)</f>
        <v>0</v>
      </c>
      <c r="AE436" s="36">
        <f>IF(AQ436="7",BI436,0)</f>
        <v>0</v>
      </c>
      <c r="AF436" s="36">
        <f>IF(AQ436="2",BH436,0)</f>
        <v>0</v>
      </c>
      <c r="AG436" s="36">
        <f>IF(AQ436="2",BI436,0)</f>
        <v>0</v>
      </c>
      <c r="AH436" s="36">
        <f>IF(AQ436="0",BJ436,0)</f>
        <v>0</v>
      </c>
      <c r="AI436" s="34" t="s">
        <v>691</v>
      </c>
      <c r="AJ436" s="24">
        <f>IF(AN436=0,K436,0)</f>
        <v>0</v>
      </c>
      <c r="AK436" s="24">
        <f>IF(AN436=15,K436,0)</f>
        <v>0</v>
      </c>
      <c r="AL436" s="24">
        <f>IF(AN436=21,K436,0)</f>
        <v>0</v>
      </c>
      <c r="AN436" s="36">
        <v>21</v>
      </c>
      <c r="AO436" s="36">
        <f>H436*0</f>
        <v>0</v>
      </c>
      <c r="AP436" s="36">
        <f>H436*(1-0)</f>
        <v>0</v>
      </c>
      <c r="AQ436" s="37" t="s">
        <v>8</v>
      </c>
      <c r="AV436" s="36">
        <f>AW436+AX436</f>
        <v>0</v>
      </c>
      <c r="AW436" s="36">
        <f>G436*AO436</f>
        <v>0</v>
      </c>
      <c r="AX436" s="36">
        <f>G436*AP436</f>
        <v>0</v>
      </c>
      <c r="AY436" s="39" t="s">
        <v>717</v>
      </c>
      <c r="AZ436" s="39" t="s">
        <v>733</v>
      </c>
      <c r="BA436" s="34" t="s">
        <v>735</v>
      </c>
      <c r="BC436" s="36">
        <f>AW436+AX436</f>
        <v>0</v>
      </c>
      <c r="BD436" s="36">
        <f>H436/(100-BE436)*100</f>
        <v>0</v>
      </c>
      <c r="BE436" s="36">
        <v>0</v>
      </c>
      <c r="BF436" s="36">
        <f>O436</f>
        <v>0</v>
      </c>
      <c r="BH436" s="24">
        <f>G436*AO436</f>
        <v>0</v>
      </c>
      <c r="BI436" s="24">
        <f>G436*AP436</f>
        <v>0</v>
      </c>
      <c r="BJ436" s="24">
        <f>G436*H436</f>
        <v>0</v>
      </c>
      <c r="BK436" s="24" t="s">
        <v>740</v>
      </c>
      <c r="BL436" s="36" t="s">
        <v>262</v>
      </c>
    </row>
    <row r="437" spans="1:47" ht="12.75">
      <c r="A437" s="4"/>
      <c r="B437" s="13" t="s">
        <v>264</v>
      </c>
      <c r="C437" s="160" t="s">
        <v>551</v>
      </c>
      <c r="D437" s="161"/>
      <c r="E437" s="161"/>
      <c r="F437" s="22" t="s">
        <v>6</v>
      </c>
      <c r="G437" s="22" t="s">
        <v>6</v>
      </c>
      <c r="H437" s="22" t="s">
        <v>6</v>
      </c>
      <c r="I437" s="43">
        <f>SUM(I438:I452)</f>
        <v>0</v>
      </c>
      <c r="J437" s="43">
        <f>SUM(J438:J452)</f>
        <v>0</v>
      </c>
      <c r="K437" s="43">
        <f>SUM(K438:K452)</f>
        <v>0</v>
      </c>
      <c r="L437" s="34"/>
      <c r="M437" s="34"/>
      <c r="N437" s="34"/>
      <c r="O437" s="46">
        <f>SUM(O438:O452)</f>
        <v>0</v>
      </c>
      <c r="P437" s="6"/>
      <c r="AI437" s="34" t="s">
        <v>691</v>
      </c>
      <c r="AS437" s="43">
        <f>SUM(AJ438:AJ452)</f>
        <v>0</v>
      </c>
      <c r="AT437" s="43">
        <f>SUM(AK438:AK452)</f>
        <v>0</v>
      </c>
      <c r="AU437" s="43">
        <f>SUM(AL438:AL452)</f>
        <v>0</v>
      </c>
    </row>
    <row r="438" spans="1:64" ht="12.75">
      <c r="A438" s="88" t="s">
        <v>128</v>
      </c>
      <c r="B438" s="88" t="s">
        <v>265</v>
      </c>
      <c r="C438" s="156" t="s">
        <v>552</v>
      </c>
      <c r="D438" s="157"/>
      <c r="E438" s="158"/>
      <c r="F438" s="88" t="s">
        <v>656</v>
      </c>
      <c r="G438" s="96">
        <v>13</v>
      </c>
      <c r="H438" s="96">
        <v>0</v>
      </c>
      <c r="I438" s="96">
        <f>G438*AO438</f>
        <v>0</v>
      </c>
      <c r="J438" s="96">
        <f>G438*AP438</f>
        <v>0</v>
      </c>
      <c r="K438" s="96">
        <f>G438*H438</f>
        <v>0</v>
      </c>
      <c r="L438" s="96">
        <v>0</v>
      </c>
      <c r="M438" s="81">
        <v>0</v>
      </c>
      <c r="N438" s="98">
        <v>0</v>
      </c>
      <c r="O438" s="81">
        <f>G438*N438</f>
        <v>0</v>
      </c>
      <c r="P438" s="85"/>
      <c r="Z438" s="36">
        <f>IF(AQ438="5",BJ438,0)</f>
        <v>0</v>
      </c>
      <c r="AB438" s="36">
        <f>IF(AQ438="1",BH438,0)</f>
        <v>0</v>
      </c>
      <c r="AC438" s="36">
        <f>IF(AQ438="1",BI438,0)</f>
        <v>0</v>
      </c>
      <c r="AD438" s="36">
        <f>IF(AQ438="7",BH438,0)</f>
        <v>0</v>
      </c>
      <c r="AE438" s="36">
        <f>IF(AQ438="7",BI438,0)</f>
        <v>0</v>
      </c>
      <c r="AF438" s="36">
        <f>IF(AQ438="2",BH438,0)</f>
        <v>0</v>
      </c>
      <c r="AG438" s="36">
        <f>IF(AQ438="2",BI438,0)</f>
        <v>0</v>
      </c>
      <c r="AH438" s="36">
        <f>IF(AQ438="0",BJ438,0)</f>
        <v>0</v>
      </c>
      <c r="AI438" s="34" t="s">
        <v>691</v>
      </c>
      <c r="AJ438" s="24">
        <f>IF(AN438=0,K438,0)</f>
        <v>0</v>
      </c>
      <c r="AK438" s="24">
        <f>IF(AN438=15,K438,0)</f>
        <v>0</v>
      </c>
      <c r="AL438" s="24">
        <f>IF(AN438=21,K438,0)</f>
        <v>0</v>
      </c>
      <c r="AN438" s="36">
        <v>21</v>
      </c>
      <c r="AO438" s="36">
        <f>H438*0</f>
        <v>0</v>
      </c>
      <c r="AP438" s="36">
        <f>H438*(1-0)</f>
        <v>0</v>
      </c>
      <c r="AQ438" s="37" t="s">
        <v>11</v>
      </c>
      <c r="AV438" s="36">
        <f>AW438+AX438</f>
        <v>0</v>
      </c>
      <c r="AW438" s="36">
        <f>G438*AO438</f>
        <v>0</v>
      </c>
      <c r="AX438" s="36">
        <f>G438*AP438</f>
        <v>0</v>
      </c>
      <c r="AY438" s="39" t="s">
        <v>718</v>
      </c>
      <c r="AZ438" s="39" t="s">
        <v>733</v>
      </c>
      <c r="BA438" s="34" t="s">
        <v>735</v>
      </c>
      <c r="BC438" s="36">
        <f>AW438+AX438</f>
        <v>0</v>
      </c>
      <c r="BD438" s="36">
        <f>H438/(100-BE438)*100</f>
        <v>0</v>
      </c>
      <c r="BE438" s="36">
        <v>0</v>
      </c>
      <c r="BF438" s="36">
        <f>O438</f>
        <v>0</v>
      </c>
      <c r="BH438" s="24">
        <f>G438*AO438</f>
        <v>0</v>
      </c>
      <c r="BI438" s="24">
        <f>G438*AP438</f>
        <v>0</v>
      </c>
      <c r="BJ438" s="24">
        <f>G438*H438</f>
        <v>0</v>
      </c>
      <c r="BK438" s="24" t="s">
        <v>740</v>
      </c>
      <c r="BL438" s="36" t="s">
        <v>264</v>
      </c>
    </row>
    <row r="439" spans="1:16" ht="12.75">
      <c r="A439" s="100"/>
      <c r="B439" s="101"/>
      <c r="C439" s="92" t="s">
        <v>19</v>
      </c>
      <c r="E439" s="102"/>
      <c r="F439" s="101"/>
      <c r="G439" s="103">
        <v>13</v>
      </c>
      <c r="H439" s="101"/>
      <c r="I439" s="101"/>
      <c r="J439" s="101"/>
      <c r="K439" s="101"/>
      <c r="L439" s="101"/>
      <c r="M439" s="89"/>
      <c r="N439" s="104"/>
      <c r="O439" s="86"/>
      <c r="P439" s="85"/>
    </row>
    <row r="440" spans="1:64" ht="12.75">
      <c r="A440" s="88" t="s">
        <v>129</v>
      </c>
      <c r="B440" s="88" t="s">
        <v>266</v>
      </c>
      <c r="C440" s="156" t="s">
        <v>553</v>
      </c>
      <c r="D440" s="157"/>
      <c r="E440" s="158"/>
      <c r="F440" s="88" t="s">
        <v>656</v>
      </c>
      <c r="G440" s="96">
        <v>13</v>
      </c>
      <c r="H440" s="96">
        <v>0</v>
      </c>
      <c r="I440" s="96">
        <f>G440*AO440</f>
        <v>0</v>
      </c>
      <c r="J440" s="96">
        <f>G440*AP440</f>
        <v>0</v>
      </c>
      <c r="K440" s="96">
        <f>G440*H440</f>
        <v>0</v>
      </c>
      <c r="L440" s="96">
        <v>0</v>
      </c>
      <c r="M440" s="81">
        <v>0</v>
      </c>
      <c r="N440" s="98">
        <v>0</v>
      </c>
      <c r="O440" s="81">
        <f>G440*N440</f>
        <v>0</v>
      </c>
      <c r="P440" s="85"/>
      <c r="Z440" s="36">
        <f>IF(AQ440="5",BJ440,0)</f>
        <v>0</v>
      </c>
      <c r="AB440" s="36">
        <f>IF(AQ440="1",BH440,0)</f>
        <v>0</v>
      </c>
      <c r="AC440" s="36">
        <f>IF(AQ440="1",BI440,0)</f>
        <v>0</v>
      </c>
      <c r="AD440" s="36">
        <f>IF(AQ440="7",BH440,0)</f>
        <v>0</v>
      </c>
      <c r="AE440" s="36">
        <f>IF(AQ440="7",BI440,0)</f>
        <v>0</v>
      </c>
      <c r="AF440" s="36">
        <f>IF(AQ440="2",BH440,0)</f>
        <v>0</v>
      </c>
      <c r="AG440" s="36">
        <f>IF(AQ440="2",BI440,0)</f>
        <v>0</v>
      </c>
      <c r="AH440" s="36">
        <f>IF(AQ440="0",BJ440,0)</f>
        <v>0</v>
      </c>
      <c r="AI440" s="34" t="s">
        <v>691</v>
      </c>
      <c r="AJ440" s="24">
        <f>IF(AN440=0,K440,0)</f>
        <v>0</v>
      </c>
      <c r="AK440" s="24">
        <f>IF(AN440=15,K440,0)</f>
        <v>0</v>
      </c>
      <c r="AL440" s="24">
        <f>IF(AN440=21,K440,0)</f>
        <v>0</v>
      </c>
      <c r="AN440" s="36">
        <v>21</v>
      </c>
      <c r="AO440" s="36">
        <f>H440*0</f>
        <v>0</v>
      </c>
      <c r="AP440" s="36">
        <f>H440*(1-0)</f>
        <v>0</v>
      </c>
      <c r="AQ440" s="37" t="s">
        <v>11</v>
      </c>
      <c r="AV440" s="36">
        <f>AW440+AX440</f>
        <v>0</v>
      </c>
      <c r="AW440" s="36">
        <f>G440*AO440</f>
        <v>0</v>
      </c>
      <c r="AX440" s="36">
        <f>G440*AP440</f>
        <v>0</v>
      </c>
      <c r="AY440" s="39" t="s">
        <v>718</v>
      </c>
      <c r="AZ440" s="39" t="s">
        <v>733</v>
      </c>
      <c r="BA440" s="34" t="s">
        <v>735</v>
      </c>
      <c r="BC440" s="36">
        <f>AW440+AX440</f>
        <v>0</v>
      </c>
      <c r="BD440" s="36">
        <f>H440/(100-BE440)*100</f>
        <v>0</v>
      </c>
      <c r="BE440" s="36">
        <v>0</v>
      </c>
      <c r="BF440" s="36">
        <f>O440</f>
        <v>0</v>
      </c>
      <c r="BH440" s="24">
        <f>G440*AO440</f>
        <v>0</v>
      </c>
      <c r="BI440" s="24">
        <f>G440*AP440</f>
        <v>0</v>
      </c>
      <c r="BJ440" s="24">
        <f>G440*H440</f>
        <v>0</v>
      </c>
      <c r="BK440" s="24" t="s">
        <v>740</v>
      </c>
      <c r="BL440" s="36" t="s">
        <v>264</v>
      </c>
    </row>
    <row r="441" spans="1:16" ht="12.75">
      <c r="A441" s="100"/>
      <c r="B441" s="101"/>
      <c r="C441" s="92" t="s">
        <v>19</v>
      </c>
      <c r="E441" s="102"/>
      <c r="F441" s="101"/>
      <c r="G441" s="103">
        <v>13</v>
      </c>
      <c r="H441" s="101"/>
      <c r="I441" s="101"/>
      <c r="J441" s="101"/>
      <c r="K441" s="101"/>
      <c r="L441" s="101"/>
      <c r="M441" s="89"/>
      <c r="N441" s="104"/>
      <c r="O441" s="86"/>
      <c r="P441" s="85"/>
    </row>
    <row r="442" spans="1:64" ht="12.75">
      <c r="A442" s="88" t="s">
        <v>130</v>
      </c>
      <c r="B442" s="88" t="s">
        <v>267</v>
      </c>
      <c r="C442" s="156" t="s">
        <v>554</v>
      </c>
      <c r="D442" s="157"/>
      <c r="E442" s="158"/>
      <c r="F442" s="88" t="s">
        <v>656</v>
      </c>
      <c r="G442" s="96">
        <v>13</v>
      </c>
      <c r="H442" s="96">
        <v>0</v>
      </c>
      <c r="I442" s="96">
        <f>G442*AO442</f>
        <v>0</v>
      </c>
      <c r="J442" s="96">
        <f>G442*AP442</f>
        <v>0</v>
      </c>
      <c r="K442" s="96">
        <f>G442*H442</f>
        <v>0</v>
      </c>
      <c r="L442" s="96">
        <v>0</v>
      </c>
      <c r="M442" s="81">
        <v>0</v>
      </c>
      <c r="N442" s="98">
        <v>0</v>
      </c>
      <c r="O442" s="81">
        <f>G442*N442</f>
        <v>0</v>
      </c>
      <c r="P442" s="85"/>
      <c r="Z442" s="36">
        <f>IF(AQ442="5",BJ442,0)</f>
        <v>0</v>
      </c>
      <c r="AB442" s="36">
        <f>IF(AQ442="1",BH442,0)</f>
        <v>0</v>
      </c>
      <c r="AC442" s="36">
        <f>IF(AQ442="1",BI442,0)</f>
        <v>0</v>
      </c>
      <c r="AD442" s="36">
        <f>IF(AQ442="7",BH442,0)</f>
        <v>0</v>
      </c>
      <c r="AE442" s="36">
        <f>IF(AQ442="7",BI442,0)</f>
        <v>0</v>
      </c>
      <c r="AF442" s="36">
        <f>IF(AQ442="2",BH442,0)</f>
        <v>0</v>
      </c>
      <c r="AG442" s="36">
        <f>IF(AQ442="2",BI442,0)</f>
        <v>0</v>
      </c>
      <c r="AH442" s="36">
        <f>IF(AQ442="0",BJ442,0)</f>
        <v>0</v>
      </c>
      <c r="AI442" s="34" t="s">
        <v>691</v>
      </c>
      <c r="AJ442" s="24">
        <f>IF(AN442=0,K442,0)</f>
        <v>0</v>
      </c>
      <c r="AK442" s="24">
        <f>IF(AN442=15,K442,0)</f>
        <v>0</v>
      </c>
      <c r="AL442" s="24">
        <f>IF(AN442=21,K442,0)</f>
        <v>0</v>
      </c>
      <c r="AN442" s="36">
        <v>21</v>
      </c>
      <c r="AO442" s="36">
        <f>H442*0</f>
        <v>0</v>
      </c>
      <c r="AP442" s="36">
        <f>H442*(1-0)</f>
        <v>0</v>
      </c>
      <c r="AQ442" s="37" t="s">
        <v>11</v>
      </c>
      <c r="AV442" s="36">
        <f>AW442+AX442</f>
        <v>0</v>
      </c>
      <c r="AW442" s="36">
        <f>G442*AO442</f>
        <v>0</v>
      </c>
      <c r="AX442" s="36">
        <f>G442*AP442</f>
        <v>0</v>
      </c>
      <c r="AY442" s="39" t="s">
        <v>718</v>
      </c>
      <c r="AZ442" s="39" t="s">
        <v>733</v>
      </c>
      <c r="BA442" s="34" t="s">
        <v>735</v>
      </c>
      <c r="BC442" s="36">
        <f>AW442+AX442</f>
        <v>0</v>
      </c>
      <c r="BD442" s="36">
        <f>H442/(100-BE442)*100</f>
        <v>0</v>
      </c>
      <c r="BE442" s="36">
        <v>0</v>
      </c>
      <c r="BF442" s="36">
        <f>O442</f>
        <v>0</v>
      </c>
      <c r="BH442" s="24">
        <f>G442*AO442</f>
        <v>0</v>
      </c>
      <c r="BI442" s="24">
        <f>G442*AP442</f>
        <v>0</v>
      </c>
      <c r="BJ442" s="24">
        <f>G442*H442</f>
        <v>0</v>
      </c>
      <c r="BK442" s="24" t="s">
        <v>740</v>
      </c>
      <c r="BL442" s="36" t="s">
        <v>264</v>
      </c>
    </row>
    <row r="443" spans="1:16" ht="12.75">
      <c r="A443" s="100"/>
      <c r="B443" s="101"/>
      <c r="C443" s="92" t="s">
        <v>19</v>
      </c>
      <c r="E443" s="102"/>
      <c r="F443" s="101"/>
      <c r="G443" s="103">
        <v>13</v>
      </c>
      <c r="H443" s="101"/>
      <c r="I443" s="101"/>
      <c r="J443" s="101"/>
      <c r="K443" s="101"/>
      <c r="L443" s="101"/>
      <c r="M443" s="89"/>
      <c r="N443" s="104"/>
      <c r="O443" s="86"/>
      <c r="P443" s="85"/>
    </row>
    <row r="444" spans="1:64" ht="12.75">
      <c r="A444" s="88" t="s">
        <v>131</v>
      </c>
      <c r="B444" s="88" t="s">
        <v>268</v>
      </c>
      <c r="C444" s="156" t="s">
        <v>555</v>
      </c>
      <c r="D444" s="157"/>
      <c r="E444" s="158"/>
      <c r="F444" s="88" t="s">
        <v>656</v>
      </c>
      <c r="G444" s="96">
        <v>13</v>
      </c>
      <c r="H444" s="96">
        <v>0</v>
      </c>
      <c r="I444" s="96">
        <f>G444*AO444</f>
        <v>0</v>
      </c>
      <c r="J444" s="96">
        <f>G444*AP444</f>
        <v>0</v>
      </c>
      <c r="K444" s="96">
        <f>G444*H444</f>
        <v>0</v>
      </c>
      <c r="L444" s="96">
        <v>0</v>
      </c>
      <c r="M444" s="81">
        <v>0</v>
      </c>
      <c r="N444" s="98">
        <v>0</v>
      </c>
      <c r="O444" s="81">
        <f>G444*N444</f>
        <v>0</v>
      </c>
      <c r="P444" s="85"/>
      <c r="Z444" s="36">
        <f>IF(AQ444="5",BJ444,0)</f>
        <v>0</v>
      </c>
      <c r="AB444" s="36">
        <f>IF(AQ444="1",BH444,0)</f>
        <v>0</v>
      </c>
      <c r="AC444" s="36">
        <f>IF(AQ444="1",BI444,0)</f>
        <v>0</v>
      </c>
      <c r="AD444" s="36">
        <f>IF(AQ444="7",BH444,0)</f>
        <v>0</v>
      </c>
      <c r="AE444" s="36">
        <f>IF(AQ444="7",BI444,0)</f>
        <v>0</v>
      </c>
      <c r="AF444" s="36">
        <f>IF(AQ444="2",BH444,0)</f>
        <v>0</v>
      </c>
      <c r="AG444" s="36">
        <f>IF(AQ444="2",BI444,0)</f>
        <v>0</v>
      </c>
      <c r="AH444" s="36">
        <f>IF(AQ444="0",BJ444,0)</f>
        <v>0</v>
      </c>
      <c r="AI444" s="34" t="s">
        <v>691</v>
      </c>
      <c r="AJ444" s="24">
        <f>IF(AN444=0,K444,0)</f>
        <v>0</v>
      </c>
      <c r="AK444" s="24">
        <f>IF(AN444=15,K444,0)</f>
        <v>0</v>
      </c>
      <c r="AL444" s="24">
        <f>IF(AN444=21,K444,0)</f>
        <v>0</v>
      </c>
      <c r="AN444" s="36">
        <v>21</v>
      </c>
      <c r="AO444" s="36">
        <f>H444*0</f>
        <v>0</v>
      </c>
      <c r="AP444" s="36">
        <f>H444*(1-0)</f>
        <v>0</v>
      </c>
      <c r="AQ444" s="37" t="s">
        <v>11</v>
      </c>
      <c r="AV444" s="36">
        <f>AW444+AX444</f>
        <v>0</v>
      </c>
      <c r="AW444" s="36">
        <f>G444*AO444</f>
        <v>0</v>
      </c>
      <c r="AX444" s="36">
        <f>G444*AP444</f>
        <v>0</v>
      </c>
      <c r="AY444" s="39" t="s">
        <v>718</v>
      </c>
      <c r="AZ444" s="39" t="s">
        <v>733</v>
      </c>
      <c r="BA444" s="34" t="s">
        <v>735</v>
      </c>
      <c r="BC444" s="36">
        <f>AW444+AX444</f>
        <v>0</v>
      </c>
      <c r="BD444" s="36">
        <f>H444/(100-BE444)*100</f>
        <v>0</v>
      </c>
      <c r="BE444" s="36">
        <v>0</v>
      </c>
      <c r="BF444" s="36">
        <f>O444</f>
        <v>0</v>
      </c>
      <c r="BH444" s="24">
        <f>G444*AO444</f>
        <v>0</v>
      </c>
      <c r="BI444" s="24">
        <f>G444*AP444</f>
        <v>0</v>
      </c>
      <c r="BJ444" s="24">
        <f>G444*H444</f>
        <v>0</v>
      </c>
      <c r="BK444" s="24" t="s">
        <v>740</v>
      </c>
      <c r="BL444" s="36" t="s">
        <v>264</v>
      </c>
    </row>
    <row r="445" spans="1:16" ht="12.75">
      <c r="A445" s="100"/>
      <c r="B445" s="101"/>
      <c r="C445" s="92" t="s">
        <v>19</v>
      </c>
      <c r="E445" s="102"/>
      <c r="F445" s="101"/>
      <c r="G445" s="103">
        <v>13</v>
      </c>
      <c r="H445" s="101"/>
      <c r="I445" s="101"/>
      <c r="J445" s="101"/>
      <c r="K445" s="101"/>
      <c r="L445" s="101"/>
      <c r="M445" s="89"/>
      <c r="N445" s="104"/>
      <c r="O445" s="86"/>
      <c r="P445" s="85"/>
    </row>
    <row r="446" spans="1:64" ht="12.75">
      <c r="A446" s="88" t="s">
        <v>132</v>
      </c>
      <c r="B446" s="88" t="s">
        <v>269</v>
      </c>
      <c r="C446" s="156" t="s">
        <v>556</v>
      </c>
      <c r="D446" s="157"/>
      <c r="E446" s="158"/>
      <c r="F446" s="88" t="s">
        <v>656</v>
      </c>
      <c r="G446" s="96">
        <v>117</v>
      </c>
      <c r="H446" s="96">
        <v>0</v>
      </c>
      <c r="I446" s="96">
        <f>G446*AO446</f>
        <v>0</v>
      </c>
      <c r="J446" s="96">
        <f>G446*AP446</f>
        <v>0</v>
      </c>
      <c r="K446" s="96">
        <f>G446*H446</f>
        <v>0</v>
      </c>
      <c r="L446" s="96">
        <v>0</v>
      </c>
      <c r="M446" s="81">
        <v>0</v>
      </c>
      <c r="N446" s="98">
        <v>0</v>
      </c>
      <c r="O446" s="81">
        <f>G446*N446</f>
        <v>0</v>
      </c>
      <c r="P446" s="85"/>
      <c r="Z446" s="36">
        <f>IF(AQ446="5",BJ446,0)</f>
        <v>0</v>
      </c>
      <c r="AB446" s="36">
        <f>IF(AQ446="1",BH446,0)</f>
        <v>0</v>
      </c>
      <c r="AC446" s="36">
        <f>IF(AQ446="1",BI446,0)</f>
        <v>0</v>
      </c>
      <c r="AD446" s="36">
        <f>IF(AQ446="7",BH446,0)</f>
        <v>0</v>
      </c>
      <c r="AE446" s="36">
        <f>IF(AQ446="7",BI446,0)</f>
        <v>0</v>
      </c>
      <c r="AF446" s="36">
        <f>IF(AQ446="2",BH446,0)</f>
        <v>0</v>
      </c>
      <c r="AG446" s="36">
        <f>IF(AQ446="2",BI446,0)</f>
        <v>0</v>
      </c>
      <c r="AH446" s="36">
        <f>IF(AQ446="0",BJ446,0)</f>
        <v>0</v>
      </c>
      <c r="AI446" s="34" t="s">
        <v>691</v>
      </c>
      <c r="AJ446" s="24">
        <f>IF(AN446=0,K446,0)</f>
        <v>0</v>
      </c>
      <c r="AK446" s="24">
        <f>IF(AN446=15,K446,0)</f>
        <v>0</v>
      </c>
      <c r="AL446" s="24">
        <f>IF(AN446=21,K446,0)</f>
        <v>0</v>
      </c>
      <c r="AN446" s="36">
        <v>21</v>
      </c>
      <c r="AO446" s="36">
        <f>H446*0</f>
        <v>0</v>
      </c>
      <c r="AP446" s="36">
        <f>H446*(1-0)</f>
        <v>0</v>
      </c>
      <c r="AQ446" s="37" t="s">
        <v>11</v>
      </c>
      <c r="AV446" s="36">
        <f>AW446+AX446</f>
        <v>0</v>
      </c>
      <c r="AW446" s="36">
        <f>G446*AO446</f>
        <v>0</v>
      </c>
      <c r="AX446" s="36">
        <f>G446*AP446</f>
        <v>0</v>
      </c>
      <c r="AY446" s="39" t="s">
        <v>718</v>
      </c>
      <c r="AZ446" s="39" t="s">
        <v>733</v>
      </c>
      <c r="BA446" s="34" t="s">
        <v>735</v>
      </c>
      <c r="BC446" s="36">
        <f>AW446+AX446</f>
        <v>0</v>
      </c>
      <c r="BD446" s="36">
        <f>H446/(100-BE446)*100</f>
        <v>0</v>
      </c>
      <c r="BE446" s="36">
        <v>0</v>
      </c>
      <c r="BF446" s="36">
        <f>O446</f>
        <v>0</v>
      </c>
      <c r="BH446" s="24">
        <f>G446*AO446</f>
        <v>0</v>
      </c>
      <c r="BI446" s="24">
        <f>G446*AP446</f>
        <v>0</v>
      </c>
      <c r="BJ446" s="24">
        <f>G446*H446</f>
        <v>0</v>
      </c>
      <c r="BK446" s="24" t="s">
        <v>740</v>
      </c>
      <c r="BL446" s="36" t="s">
        <v>264</v>
      </c>
    </row>
    <row r="447" spans="1:16" ht="12.75">
      <c r="A447" s="91"/>
      <c r="B447" s="94"/>
      <c r="C447" s="93" t="s">
        <v>557</v>
      </c>
      <c r="E447" s="95"/>
      <c r="F447" s="94"/>
      <c r="G447" s="97">
        <v>117</v>
      </c>
      <c r="H447" s="94"/>
      <c r="I447" s="94"/>
      <c r="J447" s="94"/>
      <c r="K447" s="94"/>
      <c r="L447" s="94"/>
      <c r="M447" s="90"/>
      <c r="N447" s="99"/>
      <c r="O447" s="87"/>
      <c r="P447" s="85"/>
    </row>
    <row r="448" spans="1:64" ht="12.75">
      <c r="A448" s="5" t="s">
        <v>133</v>
      </c>
      <c r="B448" s="14" t="s">
        <v>270</v>
      </c>
      <c r="C448" s="159" t="s">
        <v>558</v>
      </c>
      <c r="D448" s="157"/>
      <c r="E448" s="157"/>
      <c r="F448" s="14" t="s">
        <v>656</v>
      </c>
      <c r="G448" s="24">
        <v>0.5</v>
      </c>
      <c r="H448" s="24">
        <v>0</v>
      </c>
      <c r="I448" s="24">
        <f>G448*AO448</f>
        <v>0</v>
      </c>
      <c r="J448" s="24">
        <f>G448*AP448</f>
        <v>0</v>
      </c>
      <c r="K448" s="24">
        <f>G448*H448</f>
        <v>0</v>
      </c>
      <c r="L448" s="24">
        <v>0</v>
      </c>
      <c r="M448" s="24">
        <v>0</v>
      </c>
      <c r="N448" s="24">
        <v>0</v>
      </c>
      <c r="O448" s="47">
        <f>G448*N448</f>
        <v>0</v>
      </c>
      <c r="P448" s="6"/>
      <c r="Z448" s="36">
        <f>IF(AQ448="5",BJ448,0)</f>
        <v>0</v>
      </c>
      <c r="AB448" s="36">
        <f>IF(AQ448="1",BH448,0)</f>
        <v>0</v>
      </c>
      <c r="AC448" s="36">
        <f>IF(AQ448="1",BI448,0)</f>
        <v>0</v>
      </c>
      <c r="AD448" s="36">
        <f>IF(AQ448="7",BH448,0)</f>
        <v>0</v>
      </c>
      <c r="AE448" s="36">
        <f>IF(AQ448="7",BI448,0)</f>
        <v>0</v>
      </c>
      <c r="AF448" s="36">
        <f>IF(AQ448="2",BH448,0)</f>
        <v>0</v>
      </c>
      <c r="AG448" s="36">
        <f>IF(AQ448="2",BI448,0)</f>
        <v>0</v>
      </c>
      <c r="AH448" s="36">
        <f>IF(AQ448="0",BJ448,0)</f>
        <v>0</v>
      </c>
      <c r="AI448" s="34" t="s">
        <v>691</v>
      </c>
      <c r="AJ448" s="24">
        <f>IF(AN448=0,K448,0)</f>
        <v>0</v>
      </c>
      <c r="AK448" s="24">
        <f>IF(AN448=15,K448,0)</f>
        <v>0</v>
      </c>
      <c r="AL448" s="24">
        <f>IF(AN448=21,K448,0)</f>
        <v>0</v>
      </c>
      <c r="AN448" s="36">
        <v>21</v>
      </c>
      <c r="AO448" s="36">
        <f>H448*0</f>
        <v>0</v>
      </c>
      <c r="AP448" s="36">
        <f>H448*(1-0)</f>
        <v>0</v>
      </c>
      <c r="AQ448" s="37" t="s">
        <v>11</v>
      </c>
      <c r="AV448" s="36">
        <f>AW448+AX448</f>
        <v>0</v>
      </c>
      <c r="AW448" s="36">
        <f>G448*AO448</f>
        <v>0</v>
      </c>
      <c r="AX448" s="36">
        <f>G448*AP448</f>
        <v>0</v>
      </c>
      <c r="AY448" s="39" t="s">
        <v>718</v>
      </c>
      <c r="AZ448" s="39" t="s">
        <v>733</v>
      </c>
      <c r="BA448" s="34" t="s">
        <v>735</v>
      </c>
      <c r="BC448" s="36">
        <f>AW448+AX448</f>
        <v>0</v>
      </c>
      <c r="BD448" s="36">
        <f>H448/(100-BE448)*100</f>
        <v>0</v>
      </c>
      <c r="BE448" s="36">
        <v>0</v>
      </c>
      <c r="BF448" s="36">
        <f>O448</f>
        <v>0</v>
      </c>
      <c r="BH448" s="24">
        <f>G448*AO448</f>
        <v>0</v>
      </c>
      <c r="BI448" s="24">
        <f>G448*AP448</f>
        <v>0</v>
      </c>
      <c r="BJ448" s="24">
        <f>G448*H448</f>
        <v>0</v>
      </c>
      <c r="BK448" s="24" t="s">
        <v>740</v>
      </c>
      <c r="BL448" s="36" t="s">
        <v>264</v>
      </c>
    </row>
    <row r="449" spans="1:16" ht="12.75">
      <c r="A449" s="6"/>
      <c r="C449" s="18" t="s">
        <v>347</v>
      </c>
      <c r="E449" s="20"/>
      <c r="G449" s="25">
        <v>0.5</v>
      </c>
      <c r="O449" s="35"/>
      <c r="P449" s="6"/>
    </row>
    <row r="450" spans="1:64" ht="12.75">
      <c r="A450" s="5" t="s">
        <v>134</v>
      </c>
      <c r="B450" s="14" t="s">
        <v>271</v>
      </c>
      <c r="C450" s="159" t="s">
        <v>559</v>
      </c>
      <c r="D450" s="157"/>
      <c r="E450" s="157"/>
      <c r="F450" s="14" t="s">
        <v>656</v>
      </c>
      <c r="G450" s="24">
        <v>12</v>
      </c>
      <c r="H450" s="24">
        <v>0</v>
      </c>
      <c r="I450" s="24">
        <f>G450*AO450</f>
        <v>0</v>
      </c>
      <c r="J450" s="24">
        <f>G450*AP450</f>
        <v>0</v>
      </c>
      <c r="K450" s="24">
        <f>G450*H450</f>
        <v>0</v>
      </c>
      <c r="L450" s="24">
        <v>0</v>
      </c>
      <c r="M450" s="24">
        <v>0</v>
      </c>
      <c r="N450" s="24">
        <v>0</v>
      </c>
      <c r="O450" s="47">
        <f>G450*N450</f>
        <v>0</v>
      </c>
      <c r="P450" s="6"/>
      <c r="Z450" s="36">
        <f>IF(AQ450="5",BJ450,0)</f>
        <v>0</v>
      </c>
      <c r="AB450" s="36">
        <f>IF(AQ450="1",BH450,0)</f>
        <v>0</v>
      </c>
      <c r="AC450" s="36">
        <f>IF(AQ450="1",BI450,0)</f>
        <v>0</v>
      </c>
      <c r="AD450" s="36">
        <f>IF(AQ450="7",BH450,0)</f>
        <v>0</v>
      </c>
      <c r="AE450" s="36">
        <f>IF(AQ450="7",BI450,0)</f>
        <v>0</v>
      </c>
      <c r="AF450" s="36">
        <f>IF(AQ450="2",BH450,0)</f>
        <v>0</v>
      </c>
      <c r="AG450" s="36">
        <f>IF(AQ450="2",BI450,0)</f>
        <v>0</v>
      </c>
      <c r="AH450" s="36">
        <f>IF(AQ450="0",BJ450,0)</f>
        <v>0</v>
      </c>
      <c r="AI450" s="34" t="s">
        <v>691</v>
      </c>
      <c r="AJ450" s="24">
        <f>IF(AN450=0,K450,0)</f>
        <v>0</v>
      </c>
      <c r="AK450" s="24">
        <f>IF(AN450=15,K450,0)</f>
        <v>0</v>
      </c>
      <c r="AL450" s="24">
        <f>IF(AN450=21,K450,0)</f>
        <v>0</v>
      </c>
      <c r="AN450" s="36">
        <v>21</v>
      </c>
      <c r="AO450" s="36">
        <f>H450*0</f>
        <v>0</v>
      </c>
      <c r="AP450" s="36">
        <f>H450*(1-0)</f>
        <v>0</v>
      </c>
      <c r="AQ450" s="37" t="s">
        <v>11</v>
      </c>
      <c r="AV450" s="36">
        <f>AW450+AX450</f>
        <v>0</v>
      </c>
      <c r="AW450" s="36">
        <f>G450*AO450</f>
        <v>0</v>
      </c>
      <c r="AX450" s="36">
        <f>G450*AP450</f>
        <v>0</v>
      </c>
      <c r="AY450" s="39" t="s">
        <v>718</v>
      </c>
      <c r="AZ450" s="39" t="s">
        <v>733</v>
      </c>
      <c r="BA450" s="34" t="s">
        <v>735</v>
      </c>
      <c r="BC450" s="36">
        <f>AW450+AX450</f>
        <v>0</v>
      </c>
      <c r="BD450" s="36">
        <f>H450/(100-BE450)*100</f>
        <v>0</v>
      </c>
      <c r="BE450" s="36">
        <v>0</v>
      </c>
      <c r="BF450" s="36">
        <f>O450</f>
        <v>0</v>
      </c>
      <c r="BH450" s="24">
        <f>G450*AO450</f>
        <v>0</v>
      </c>
      <c r="BI450" s="24">
        <f>G450*AP450</f>
        <v>0</v>
      </c>
      <c r="BJ450" s="24">
        <f>G450*H450</f>
        <v>0</v>
      </c>
      <c r="BK450" s="24" t="s">
        <v>740</v>
      </c>
      <c r="BL450" s="36" t="s">
        <v>264</v>
      </c>
    </row>
    <row r="451" spans="1:16" ht="12.75">
      <c r="A451" s="6"/>
      <c r="C451" s="18" t="s">
        <v>18</v>
      </c>
      <c r="E451" s="20"/>
      <c r="G451" s="25">
        <v>12</v>
      </c>
      <c r="O451" s="35"/>
      <c r="P451" s="6"/>
    </row>
    <row r="452" spans="1:64" ht="12.75">
      <c r="A452" s="5" t="s">
        <v>135</v>
      </c>
      <c r="B452" s="14" t="s">
        <v>272</v>
      </c>
      <c r="C452" s="159" t="s">
        <v>560</v>
      </c>
      <c r="D452" s="157"/>
      <c r="E452" s="157"/>
      <c r="F452" s="14" t="s">
        <v>656</v>
      </c>
      <c r="G452" s="24">
        <v>0.5</v>
      </c>
      <c r="H452" s="24">
        <v>0</v>
      </c>
      <c r="I452" s="24">
        <f>G452*AO452</f>
        <v>0</v>
      </c>
      <c r="J452" s="24">
        <f>G452*AP452</f>
        <v>0</v>
      </c>
      <c r="K452" s="24">
        <f>G452*H452</f>
        <v>0</v>
      </c>
      <c r="L452" s="24">
        <v>0</v>
      </c>
      <c r="M452" s="24">
        <v>0</v>
      </c>
      <c r="N452" s="24">
        <v>0</v>
      </c>
      <c r="O452" s="47">
        <f>G452*N452</f>
        <v>0</v>
      </c>
      <c r="P452" s="6"/>
      <c r="Z452" s="36">
        <f>IF(AQ452="5",BJ452,0)</f>
        <v>0</v>
      </c>
      <c r="AB452" s="36">
        <f>IF(AQ452="1",BH452,0)</f>
        <v>0</v>
      </c>
      <c r="AC452" s="36">
        <f>IF(AQ452="1",BI452,0)</f>
        <v>0</v>
      </c>
      <c r="AD452" s="36">
        <f>IF(AQ452="7",BH452,0)</f>
        <v>0</v>
      </c>
      <c r="AE452" s="36">
        <f>IF(AQ452="7",BI452,0)</f>
        <v>0</v>
      </c>
      <c r="AF452" s="36">
        <f>IF(AQ452="2",BH452,0)</f>
        <v>0</v>
      </c>
      <c r="AG452" s="36">
        <f>IF(AQ452="2",BI452,0)</f>
        <v>0</v>
      </c>
      <c r="AH452" s="36">
        <f>IF(AQ452="0",BJ452,0)</f>
        <v>0</v>
      </c>
      <c r="AI452" s="34" t="s">
        <v>691</v>
      </c>
      <c r="AJ452" s="24">
        <f>IF(AN452=0,K452,0)</f>
        <v>0</v>
      </c>
      <c r="AK452" s="24">
        <f>IF(AN452=15,K452,0)</f>
        <v>0</v>
      </c>
      <c r="AL452" s="24">
        <f>IF(AN452=21,K452,0)</f>
        <v>0</v>
      </c>
      <c r="AN452" s="36">
        <v>21</v>
      </c>
      <c r="AO452" s="36">
        <f>H452*0</f>
        <v>0</v>
      </c>
      <c r="AP452" s="36">
        <f>H452*(1-0)</f>
        <v>0</v>
      </c>
      <c r="AQ452" s="37" t="s">
        <v>11</v>
      </c>
      <c r="AV452" s="36">
        <f>AW452+AX452</f>
        <v>0</v>
      </c>
      <c r="AW452" s="36">
        <f>G452*AO452</f>
        <v>0</v>
      </c>
      <c r="AX452" s="36">
        <f>G452*AP452</f>
        <v>0</v>
      </c>
      <c r="AY452" s="39" t="s">
        <v>718</v>
      </c>
      <c r="AZ452" s="39" t="s">
        <v>733</v>
      </c>
      <c r="BA452" s="34" t="s">
        <v>735</v>
      </c>
      <c r="BC452" s="36">
        <f>AW452+AX452</f>
        <v>0</v>
      </c>
      <c r="BD452" s="36">
        <f>H452/(100-BE452)*100</f>
        <v>0</v>
      </c>
      <c r="BE452" s="36">
        <v>0</v>
      </c>
      <c r="BF452" s="36">
        <f>O452</f>
        <v>0</v>
      </c>
      <c r="BH452" s="24">
        <f>G452*AO452</f>
        <v>0</v>
      </c>
      <c r="BI452" s="24">
        <f>G452*AP452</f>
        <v>0</v>
      </c>
      <c r="BJ452" s="24">
        <f>G452*H452</f>
        <v>0</v>
      </c>
      <c r="BK452" s="24" t="s">
        <v>740</v>
      </c>
      <c r="BL452" s="36" t="s">
        <v>264</v>
      </c>
    </row>
    <row r="453" spans="1:16" ht="12.75">
      <c r="A453" s="6"/>
      <c r="C453" s="18" t="s">
        <v>347</v>
      </c>
      <c r="E453" s="20"/>
      <c r="G453" s="25">
        <v>0.5</v>
      </c>
      <c r="O453" s="35"/>
      <c r="P453" s="6"/>
    </row>
    <row r="454" spans="1:47" ht="12.75">
      <c r="A454" s="4"/>
      <c r="B454" s="13" t="s">
        <v>273</v>
      </c>
      <c r="C454" s="160" t="s">
        <v>561</v>
      </c>
      <c r="D454" s="161"/>
      <c r="E454" s="161"/>
      <c r="F454" s="22" t="s">
        <v>6</v>
      </c>
      <c r="G454" s="22" t="s">
        <v>6</v>
      </c>
      <c r="H454" s="22" t="s">
        <v>6</v>
      </c>
      <c r="I454" s="43">
        <f>SUM(I455:I455)</f>
        <v>0</v>
      </c>
      <c r="J454" s="43">
        <f>SUM(J455:J455)</f>
        <v>0</v>
      </c>
      <c r="K454" s="43">
        <f>SUM(K455:K455)</f>
        <v>0</v>
      </c>
      <c r="L454" s="34"/>
      <c r="M454" s="34"/>
      <c r="N454" s="34"/>
      <c r="O454" s="46">
        <f>SUM(O455:O455)</f>
        <v>0</v>
      </c>
      <c r="P454" s="6"/>
      <c r="AI454" s="34" t="s">
        <v>691</v>
      </c>
      <c r="AS454" s="43">
        <f>SUM(AJ455:AJ455)</f>
        <v>0</v>
      </c>
      <c r="AT454" s="43">
        <f>SUM(AK455:AK455)</f>
        <v>0</v>
      </c>
      <c r="AU454" s="43">
        <f>SUM(AL455:AL455)</f>
        <v>0</v>
      </c>
    </row>
    <row r="455" spans="1:64" ht="12.75">
      <c r="A455" s="80" t="s">
        <v>136</v>
      </c>
      <c r="B455" s="80" t="s">
        <v>228</v>
      </c>
      <c r="C455" s="162" t="s">
        <v>562</v>
      </c>
      <c r="D455" s="163"/>
      <c r="E455" s="164"/>
      <c r="F455" s="80" t="s">
        <v>661</v>
      </c>
      <c r="G455" s="83">
        <v>1</v>
      </c>
      <c r="H455" s="83">
        <v>0</v>
      </c>
      <c r="I455" s="83">
        <f>G455*AO455</f>
        <v>0</v>
      </c>
      <c r="J455" s="83">
        <f>G455*AP455</f>
        <v>0</v>
      </c>
      <c r="K455" s="83">
        <f>G455*H455</f>
        <v>0</v>
      </c>
      <c r="L455" s="83">
        <v>0</v>
      </c>
      <c r="M455" s="82">
        <v>0</v>
      </c>
      <c r="N455" s="84">
        <v>0</v>
      </c>
      <c r="O455" s="82">
        <f>G455*N455</f>
        <v>0</v>
      </c>
      <c r="P455" s="85"/>
      <c r="Z455" s="36">
        <f>IF(AQ455="5",BJ455,0)</f>
        <v>0</v>
      </c>
      <c r="AB455" s="36">
        <f>IF(AQ455="1",BH455,0)</f>
        <v>0</v>
      </c>
      <c r="AC455" s="36">
        <f>IF(AQ455="1",BI455,0)</f>
        <v>0</v>
      </c>
      <c r="AD455" s="36">
        <f>IF(AQ455="7",BH455,0)</f>
        <v>0</v>
      </c>
      <c r="AE455" s="36">
        <f>IF(AQ455="7",BI455,0)</f>
        <v>0</v>
      </c>
      <c r="AF455" s="36">
        <f>IF(AQ455="2",BH455,0)</f>
        <v>0</v>
      </c>
      <c r="AG455" s="36">
        <f>IF(AQ455="2",BI455,0)</f>
        <v>0</v>
      </c>
      <c r="AH455" s="36">
        <f>IF(AQ455="0",BJ455,0)</f>
        <v>0</v>
      </c>
      <c r="AI455" s="34" t="s">
        <v>691</v>
      </c>
      <c r="AJ455" s="24">
        <f>IF(AN455=0,K455,0)</f>
        <v>0</v>
      </c>
      <c r="AK455" s="24">
        <f>IF(AN455=15,K455,0)</f>
        <v>0</v>
      </c>
      <c r="AL455" s="24">
        <f>IF(AN455=21,K455,0)</f>
        <v>0</v>
      </c>
      <c r="AN455" s="36">
        <v>21</v>
      </c>
      <c r="AO455" s="36">
        <f>H455*0</f>
        <v>0</v>
      </c>
      <c r="AP455" s="36">
        <f>H455*(1-0)</f>
        <v>0</v>
      </c>
      <c r="AQ455" s="37" t="s">
        <v>7</v>
      </c>
      <c r="AV455" s="36">
        <f>AW455+AX455</f>
        <v>0</v>
      </c>
      <c r="AW455" s="36">
        <f>G455*AO455</f>
        <v>0</v>
      </c>
      <c r="AX455" s="36">
        <f>G455*AP455</f>
        <v>0</v>
      </c>
      <c r="AY455" s="39" t="s">
        <v>719</v>
      </c>
      <c r="AZ455" s="39" t="s">
        <v>734</v>
      </c>
      <c r="BA455" s="34" t="s">
        <v>735</v>
      </c>
      <c r="BC455" s="36">
        <f>AW455+AX455</f>
        <v>0</v>
      </c>
      <c r="BD455" s="36">
        <f>H455/(100-BE455)*100</f>
        <v>0</v>
      </c>
      <c r="BE455" s="36">
        <v>0</v>
      </c>
      <c r="BF455" s="36">
        <f>O455</f>
        <v>0</v>
      </c>
      <c r="BH455" s="24">
        <f>G455*AO455</f>
        <v>0</v>
      </c>
      <c r="BI455" s="24">
        <f>G455*AP455</f>
        <v>0</v>
      </c>
      <c r="BJ455" s="24">
        <f>G455*H455</f>
        <v>0</v>
      </c>
      <c r="BK455" s="24" t="s">
        <v>740</v>
      </c>
      <c r="BL455" s="36">
        <v>0</v>
      </c>
    </row>
    <row r="456" spans="1:15" ht="12.75">
      <c r="A456" s="85"/>
      <c r="B456" s="85"/>
      <c r="C456" s="85"/>
      <c r="D456" s="8"/>
      <c r="E456" s="85"/>
      <c r="F456" s="85"/>
      <c r="G456" s="85"/>
      <c r="H456" s="85"/>
      <c r="I456" s="155" t="s">
        <v>675</v>
      </c>
      <c r="J456" s="146"/>
      <c r="K456" s="109">
        <f>K13+K26+K42+K64+K72+K117+K125+K130+K134+K165+K215+K245+K280+K302+K309+K316+K361+K365+K372+K387+K407+K411+K414+K416+K419+K435+K437+K454</f>
        <v>0</v>
      </c>
      <c r="L456" s="85"/>
      <c r="M456" s="85"/>
      <c r="N456" s="85"/>
      <c r="O456" s="85"/>
    </row>
    <row r="457" ht="11.25" customHeight="1">
      <c r="A457" s="9" t="s">
        <v>137</v>
      </c>
    </row>
    <row r="458" spans="1:15" ht="25.5" customHeight="1">
      <c r="A458" s="113" t="s">
        <v>138</v>
      </c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</row>
  </sheetData>
  <sheetProtection/>
  <mergeCells count="243">
    <mergeCell ref="A1:O1"/>
    <mergeCell ref="A2:B3"/>
    <mergeCell ref="C2:D3"/>
    <mergeCell ref="E2:F3"/>
    <mergeCell ref="G2:G3"/>
    <mergeCell ref="H2:H3"/>
    <mergeCell ref="I2:O3"/>
    <mergeCell ref="A4:B5"/>
    <mergeCell ref="C4:D5"/>
    <mergeCell ref="E4:F5"/>
    <mergeCell ref="G4:G5"/>
    <mergeCell ref="H4:H5"/>
    <mergeCell ref="I4:O5"/>
    <mergeCell ref="A6:B7"/>
    <mergeCell ref="C6:D7"/>
    <mergeCell ref="E6:F7"/>
    <mergeCell ref="G6:G7"/>
    <mergeCell ref="H6:H7"/>
    <mergeCell ref="I6:O7"/>
    <mergeCell ref="A8:B9"/>
    <mergeCell ref="C8:D9"/>
    <mergeCell ref="E8:F9"/>
    <mergeCell ref="G8:G9"/>
    <mergeCell ref="H8:H9"/>
    <mergeCell ref="I8:O9"/>
    <mergeCell ref="C10:E10"/>
    <mergeCell ref="I10:K10"/>
    <mergeCell ref="L10:O10"/>
    <mergeCell ref="C11:E11"/>
    <mergeCell ref="C12:E12"/>
    <mergeCell ref="C13:E13"/>
    <mergeCell ref="C14:E14"/>
    <mergeCell ref="C19:E19"/>
    <mergeCell ref="C21:E21"/>
    <mergeCell ref="C23:E23"/>
    <mergeCell ref="C24:E24"/>
    <mergeCell ref="C26:E26"/>
    <mergeCell ref="C27:E27"/>
    <mergeCell ref="C38:E38"/>
    <mergeCell ref="C42:E42"/>
    <mergeCell ref="C43:E43"/>
    <mergeCell ref="C47:E47"/>
    <mergeCell ref="C49:E49"/>
    <mergeCell ref="C59:E59"/>
    <mergeCell ref="C60:O60"/>
    <mergeCell ref="C62:E62"/>
    <mergeCell ref="C64:E64"/>
    <mergeCell ref="C65:E65"/>
    <mergeCell ref="C67:O67"/>
    <mergeCell ref="C68:E68"/>
    <mergeCell ref="C70:E70"/>
    <mergeCell ref="C72:E72"/>
    <mergeCell ref="C73:E73"/>
    <mergeCell ref="C75:O75"/>
    <mergeCell ref="C76:E76"/>
    <mergeCell ref="C78:O78"/>
    <mergeCell ref="C79:E79"/>
    <mergeCell ref="C84:E84"/>
    <mergeCell ref="C86:E86"/>
    <mergeCell ref="C88:E88"/>
    <mergeCell ref="C90:E90"/>
    <mergeCell ref="C92:E92"/>
    <mergeCell ref="C102:E102"/>
    <mergeCell ref="C104:E104"/>
    <mergeCell ref="C112:O112"/>
    <mergeCell ref="C113:E113"/>
    <mergeCell ref="C115:E115"/>
    <mergeCell ref="C117:E117"/>
    <mergeCell ref="C118:E118"/>
    <mergeCell ref="C120:E120"/>
    <mergeCell ref="C122:O122"/>
    <mergeCell ref="C123:E123"/>
    <mergeCell ref="C125:E125"/>
    <mergeCell ref="C126:E126"/>
    <mergeCell ref="C129:O129"/>
    <mergeCell ref="C130:E130"/>
    <mergeCell ref="C131:E131"/>
    <mergeCell ref="C134:E134"/>
    <mergeCell ref="C135:E135"/>
    <mergeCell ref="C137:O137"/>
    <mergeCell ref="C138:E138"/>
    <mergeCell ref="C141:O141"/>
    <mergeCell ref="C142:E142"/>
    <mergeCell ref="C144:E144"/>
    <mergeCell ref="C145:O145"/>
    <mergeCell ref="C146:E146"/>
    <mergeCell ref="C147:O147"/>
    <mergeCell ref="C149:O149"/>
    <mergeCell ref="C150:E150"/>
    <mergeCell ref="C151:O151"/>
    <mergeCell ref="C153:O153"/>
    <mergeCell ref="C154:E154"/>
    <mergeCell ref="C155:O155"/>
    <mergeCell ref="C157:O157"/>
    <mergeCell ref="C158:E158"/>
    <mergeCell ref="C160:O160"/>
    <mergeCell ref="C161:E161"/>
    <mergeCell ref="C162:O162"/>
    <mergeCell ref="C164:O164"/>
    <mergeCell ref="C165:E165"/>
    <mergeCell ref="C166:E166"/>
    <mergeCell ref="C169:O169"/>
    <mergeCell ref="C170:E170"/>
    <mergeCell ref="C171:O171"/>
    <mergeCell ref="C174:O174"/>
    <mergeCell ref="C175:E175"/>
    <mergeCell ref="C176:O176"/>
    <mergeCell ref="C179:O179"/>
    <mergeCell ref="C180:E180"/>
    <mergeCell ref="C183:O183"/>
    <mergeCell ref="C184:E184"/>
    <mergeCell ref="C188:E188"/>
    <mergeCell ref="C191:O191"/>
    <mergeCell ref="C192:E192"/>
    <mergeCell ref="C196:O196"/>
    <mergeCell ref="C197:E197"/>
    <mergeCell ref="C200:O200"/>
    <mergeCell ref="C201:E201"/>
    <mergeCell ref="C203:O203"/>
    <mergeCell ref="C204:E204"/>
    <mergeCell ref="C208:O208"/>
    <mergeCell ref="C209:E209"/>
    <mergeCell ref="C213:O213"/>
    <mergeCell ref="C214:E214"/>
    <mergeCell ref="C215:E215"/>
    <mergeCell ref="C216:E216"/>
    <mergeCell ref="C220:E220"/>
    <mergeCell ref="C223:E223"/>
    <mergeCell ref="C228:E228"/>
    <mergeCell ref="C232:E232"/>
    <mergeCell ref="C234:E234"/>
    <mergeCell ref="C236:E236"/>
    <mergeCell ref="C237:E237"/>
    <mergeCell ref="C238:E238"/>
    <mergeCell ref="C239:O239"/>
    <mergeCell ref="C241:O241"/>
    <mergeCell ref="C242:E242"/>
    <mergeCell ref="C243:O243"/>
    <mergeCell ref="C244:E244"/>
    <mergeCell ref="C245:E245"/>
    <mergeCell ref="C246:E246"/>
    <mergeCell ref="C251:E251"/>
    <mergeCell ref="C256:O256"/>
    <mergeCell ref="C257:E257"/>
    <mergeCell ref="C258:O258"/>
    <mergeCell ref="C263:O263"/>
    <mergeCell ref="C264:E264"/>
    <mergeCell ref="C265:O265"/>
    <mergeCell ref="C270:O270"/>
    <mergeCell ref="C271:E271"/>
    <mergeCell ref="C272:O272"/>
    <mergeCell ref="C277:O277"/>
    <mergeCell ref="C278:E278"/>
    <mergeCell ref="C280:E280"/>
    <mergeCell ref="C281:E281"/>
    <mergeCell ref="C285:E285"/>
    <mergeCell ref="C289:E289"/>
    <mergeCell ref="C293:E293"/>
    <mergeCell ref="C297:E297"/>
    <mergeCell ref="C301:E301"/>
    <mergeCell ref="C302:E302"/>
    <mergeCell ref="C303:E303"/>
    <mergeCell ref="C305:E305"/>
    <mergeCell ref="C308:E308"/>
    <mergeCell ref="C309:E309"/>
    <mergeCell ref="C310:E310"/>
    <mergeCell ref="C312:O312"/>
    <mergeCell ref="C313:E313"/>
    <mergeCell ref="C315:O315"/>
    <mergeCell ref="C316:E316"/>
    <mergeCell ref="C317:E317"/>
    <mergeCell ref="C323:E323"/>
    <mergeCell ref="C329:E329"/>
    <mergeCell ref="C335:E335"/>
    <mergeCell ref="C341:E341"/>
    <mergeCell ref="C347:E347"/>
    <mergeCell ref="C348:E348"/>
    <mergeCell ref="C354:E354"/>
    <mergeCell ref="C356:E356"/>
    <mergeCell ref="C358:E358"/>
    <mergeCell ref="C359:O359"/>
    <mergeCell ref="C360:E360"/>
    <mergeCell ref="C361:E361"/>
    <mergeCell ref="C362:E362"/>
    <mergeCell ref="C364:E364"/>
    <mergeCell ref="C365:E365"/>
    <mergeCell ref="C366:E366"/>
    <mergeCell ref="C368:O368"/>
    <mergeCell ref="C369:E369"/>
    <mergeCell ref="C371:O371"/>
    <mergeCell ref="C372:E372"/>
    <mergeCell ref="C373:E373"/>
    <mergeCell ref="C378:E378"/>
    <mergeCell ref="C381:E381"/>
    <mergeCell ref="C387:E387"/>
    <mergeCell ref="C388:E388"/>
    <mergeCell ref="C390:E390"/>
    <mergeCell ref="C393:E393"/>
    <mergeCell ref="C396:E396"/>
    <mergeCell ref="C397:E397"/>
    <mergeCell ref="C399:E399"/>
    <mergeCell ref="C400:E400"/>
    <mergeCell ref="C402:E402"/>
    <mergeCell ref="C406:E406"/>
    <mergeCell ref="C407:E407"/>
    <mergeCell ref="C408:E408"/>
    <mergeCell ref="C409:E409"/>
    <mergeCell ref="C410:E410"/>
    <mergeCell ref="C411:E411"/>
    <mergeCell ref="C412:E412"/>
    <mergeCell ref="C414:E414"/>
    <mergeCell ref="C415:E415"/>
    <mergeCell ref="C416:E416"/>
    <mergeCell ref="C417:E417"/>
    <mergeCell ref="C419:E419"/>
    <mergeCell ref="C420:E420"/>
    <mergeCell ref="C423:O423"/>
    <mergeCell ref="C424:E424"/>
    <mergeCell ref="C425:O425"/>
    <mergeCell ref="C426:O426"/>
    <mergeCell ref="C427:E427"/>
    <mergeCell ref="C428:O428"/>
    <mergeCell ref="C429:E429"/>
    <mergeCell ref="C430:O430"/>
    <mergeCell ref="C431:E431"/>
    <mergeCell ref="C432:O432"/>
    <mergeCell ref="C433:E433"/>
    <mergeCell ref="C434:O434"/>
    <mergeCell ref="C435:E435"/>
    <mergeCell ref="C436:E436"/>
    <mergeCell ref="C437:E437"/>
    <mergeCell ref="C438:E438"/>
    <mergeCell ref="C440:E440"/>
    <mergeCell ref="C442:E442"/>
    <mergeCell ref="C444:E444"/>
    <mergeCell ref="I456:J456"/>
    <mergeCell ref="A458:O458"/>
    <mergeCell ref="C446:E446"/>
    <mergeCell ref="C448:E448"/>
    <mergeCell ref="C450:E450"/>
    <mergeCell ref="C452:E452"/>
    <mergeCell ref="C454:E454"/>
    <mergeCell ref="C455:E45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Renáta Volková</dc:creator>
  <cp:keywords/>
  <dc:description/>
  <cp:lastModifiedBy>Renáta Volková</cp:lastModifiedBy>
  <dcterms:created xsi:type="dcterms:W3CDTF">2021-04-29T10:26:51Z</dcterms:created>
  <dcterms:modified xsi:type="dcterms:W3CDTF">2021-04-29T10:26:51Z</dcterms:modified>
  <cp:category/>
  <cp:version/>
  <cp:contentType/>
  <cp:contentStatus/>
</cp:coreProperties>
</file>