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<sst xmlns="http://schemas.openxmlformats.org/spreadsheetml/2006/main" count="2742" uniqueCount="582">
  <si>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</si>
  <si>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</si>
  <si>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</si>
  <si>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</si>
  <si>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</si>
  <si>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</si>
  <si>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</si>
  <si>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</si>
  <si>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</si>
  <si>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</si>
  <si>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</si>
  <si>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</si>
  <si>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</si>
  <si>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</si>
  <si>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</si>
  <si>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</si>
  <si>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</si>
  <si>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</si>
  <si>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</si>
  <si>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</si>
  <si>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</si>
  <si>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</si>
  <si>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</si>
  <si>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</si>
  <si>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</si>
  <si>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</si>
  <si>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</si>
  <si>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</si>
  <si>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</si>
  <si>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</si>
  <si>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</si>
  <si>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</si>
  <si>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</si>
  <si>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</si>
  <si>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</si>
  <si>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</si>
  <si>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</si>
  <si>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</si>
  <si>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</si>
  <si>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</si>
  <si>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</si>
  <si>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</si>
  <si>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</si>
  <si>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</si>
  <si>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</si>
  <si>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</si>
  <si>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</si>
  <si>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</si>
  <si>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</si>
  <si>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</si>
  <si>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</si>
  <si>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</si>
  <si>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</si>
  <si>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</si>
  <si>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</si>
  <si>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</si>
  <si>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</si>
  <si>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</si>
  <si>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</si>
  <si>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</si>
  <si>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</si>
  <si>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</si>
  <si>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</si>
  <si>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</si>
  <si>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</si>
  <si>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</si>
  <si>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</si>
  <si>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</si>
  <si>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</si>
  <si>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</si>
  <si>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</si>
  <si>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</si>
  <si>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</si>
  <si>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</si>
  <si>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</si>
  <si>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</si>
  <si>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</si>
  <si>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</si>
  <si>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</si>
  <si>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</si>
  <si>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</si>
  <si>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</si>
  <si>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</si>
  <si>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</si>
  <si>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</si>
  <si>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</si>
  <si>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</si>
  <si>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</si>
  <si>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</si>
  <si>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</si>
  <si>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</si>
  <si>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</si>
  <si>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</si>
  <si>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</si>
  <si>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</si>
  <si>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</si>
  <si>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</si>
  <si>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</si>
  <si>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</si>
  <si>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</si>
  <si>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</si>
  <si>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</si>
  <si>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</si>
  <si>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</si>
  <si>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</si>
  <si>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</si>
  <si>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</si>
  <si>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</si>
  <si>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</si>
  <si>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</si>
  <si>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</si>
  <si>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</si>
  <si>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</si>
  <si>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</si>
  <si>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</si>
  <si>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</si>
  <si>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</si>
  <si>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</si>
  <si>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</si>
  <si>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</si>
  <si>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</si>
  <si>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</si>
  <si>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</si>
  <si>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</si>
  <si>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</si>
  <si>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</si>
  <si>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</si>
  <si>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</si>
  <si>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</si>
  <si>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</si>
  <si>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</si>
  <si>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</si>
  <si>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</si>
  <si>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</si>
  <si>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</si>
  <si>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</si>
  <si>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</si>
  <si>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</si>
  <si>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</si>
  <si>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</si>
  <si>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</si>
  <si>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</si>
  <si>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</si>
  <si>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</si>
  <si>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</si>
  <si>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</si>
  <si>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</si>
  <si>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</si>
  <si>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</si>
  <si>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</si>
  <si>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</si>
  <si>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</si>
  <si>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</si>
  <si>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</si>
  <si>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</si>
  <si>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</si>
  <si>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</si>
  <si>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</si>
  <si>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</si>
  <si>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</si>
  <si>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</si>
  <si>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</si>
  <si>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</si>
  <si>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</si>
  <si>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</si>
  <si>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</si>
  <si>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</si>
  <si>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</si>
  <si>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</si>
  <si>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</si>
  <si>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</si>
  <si>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</si>
  <si>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</si>
  <si>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</si>
  <si>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</si>
  <si>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</si>
  <si>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</si>
  <si>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</si>
  <si>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</si>
  <si>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</si>
  <si>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</si>
  <si>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</si>
  <si>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</si>
  <si>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</si>
  <si>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</si>
  <si>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</si>
  <si>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</si>
  <si>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</si>
  <si>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</si>
  <si>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</si>
  <si>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</si>
  <si>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</si>
  <si>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</si>
  <si>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</si>
  <si>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</si>
  <si>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</si>
  <si>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</si>
  <si>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</si>
  <si>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</si>
  <si>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</si>
  <si>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</si>
  <si>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</si>
  <si>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</si>
  <si>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</si>
  <si>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</si>
  <si>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Poznámka:</t>
  </si>
  <si>
    <t>Objekt</t>
  </si>
  <si>
    <t>SO1</t>
  </si>
  <si>
    <t>SO2</t>
  </si>
  <si>
    <t>Kód</t>
  </si>
  <si>
    <t>781</t>
  </si>
  <si>
    <t>978500010RA0</t>
  </si>
  <si>
    <t>781415016R00</t>
  </si>
  <si>
    <t>597813613</t>
  </si>
  <si>
    <t>781497111R00</t>
  </si>
  <si>
    <t>781101210R00</t>
  </si>
  <si>
    <t>781111116R00</t>
  </si>
  <si>
    <t>998781102R00</t>
  </si>
  <si>
    <t>771</t>
  </si>
  <si>
    <t>771990010RA0</t>
  </si>
  <si>
    <t>771101210R00</t>
  </si>
  <si>
    <t>771101115R00</t>
  </si>
  <si>
    <t>58581721.A</t>
  </si>
  <si>
    <t>771575109R00</t>
  </si>
  <si>
    <t>597642030</t>
  </si>
  <si>
    <t>771577114R00</t>
  </si>
  <si>
    <t>998771102R00</t>
  </si>
  <si>
    <t>630900020RA0</t>
  </si>
  <si>
    <t>631310030RA0</t>
  </si>
  <si>
    <t>612403382R00</t>
  </si>
  <si>
    <t>612421615R00</t>
  </si>
  <si>
    <t>612409991T00</t>
  </si>
  <si>
    <t>721</t>
  </si>
  <si>
    <t>721176105R00</t>
  </si>
  <si>
    <t>721176103R00</t>
  </si>
  <si>
    <t>721194109R00</t>
  </si>
  <si>
    <t>721194105R00</t>
  </si>
  <si>
    <t>721170962R00</t>
  </si>
  <si>
    <t>721170965R00</t>
  </si>
  <si>
    <t>721171808R00</t>
  </si>
  <si>
    <t>55161664</t>
  </si>
  <si>
    <t>721210817R00</t>
  </si>
  <si>
    <t>904      R00</t>
  </si>
  <si>
    <t>998721102R00</t>
  </si>
  <si>
    <t>722</t>
  </si>
  <si>
    <t>725110814R00</t>
  </si>
  <si>
    <t>725119205R00</t>
  </si>
  <si>
    <t>642328604</t>
  </si>
  <si>
    <t>725019101R00</t>
  </si>
  <si>
    <t>551673931</t>
  </si>
  <si>
    <t>725119105R00</t>
  </si>
  <si>
    <t>55280041</t>
  </si>
  <si>
    <t>55280049</t>
  </si>
  <si>
    <t>725122813R00</t>
  </si>
  <si>
    <t>725122232T00</t>
  </si>
  <si>
    <t>725122111R00</t>
  </si>
  <si>
    <t>55147041</t>
  </si>
  <si>
    <t>725210821R00</t>
  </si>
  <si>
    <t>725219503R00</t>
  </si>
  <si>
    <t>725219401T00</t>
  </si>
  <si>
    <t>642153255</t>
  </si>
  <si>
    <t>64291405</t>
  </si>
  <si>
    <t>725292041T00</t>
  </si>
  <si>
    <t>725292041R00</t>
  </si>
  <si>
    <t>725292001T00</t>
  </si>
  <si>
    <t>725292011R00</t>
  </si>
  <si>
    <t>725292031R00</t>
  </si>
  <si>
    <t>725820801R00</t>
  </si>
  <si>
    <t>725829202R00</t>
  </si>
  <si>
    <t>725825111R00</t>
  </si>
  <si>
    <t>725980122R00</t>
  </si>
  <si>
    <t>998725102R00</t>
  </si>
  <si>
    <t>772</t>
  </si>
  <si>
    <t>722130801R00</t>
  </si>
  <si>
    <t>722172331R00</t>
  </si>
  <si>
    <t>722172911R00</t>
  </si>
  <si>
    <t>722190901R00</t>
  </si>
  <si>
    <t>998722102R00</t>
  </si>
  <si>
    <t>735</t>
  </si>
  <si>
    <t>735121810R00</t>
  </si>
  <si>
    <t>735129140R00</t>
  </si>
  <si>
    <t>735127110R00</t>
  </si>
  <si>
    <t>735494811R00</t>
  </si>
  <si>
    <t>735191910R00</t>
  </si>
  <si>
    <t>998735102R00</t>
  </si>
  <si>
    <t>650012171RT2</t>
  </si>
  <si>
    <t>650012131T00</t>
  </si>
  <si>
    <t>650072111R00</t>
  </si>
  <si>
    <t>210110001RT2</t>
  </si>
  <si>
    <t>650101521R00</t>
  </si>
  <si>
    <t>650101571R00</t>
  </si>
  <si>
    <t>210201511R00</t>
  </si>
  <si>
    <t>905a      R00</t>
  </si>
  <si>
    <t>904a      R00</t>
  </si>
  <si>
    <t>766</t>
  </si>
  <si>
    <t>968061125R00</t>
  </si>
  <si>
    <t>766664211R00</t>
  </si>
  <si>
    <t>766664915R00</t>
  </si>
  <si>
    <t>61160101</t>
  </si>
  <si>
    <t>61160104</t>
  </si>
  <si>
    <t>54914591</t>
  </si>
  <si>
    <t>766662811R00</t>
  </si>
  <si>
    <t>998766102R00</t>
  </si>
  <si>
    <t>783</t>
  </si>
  <si>
    <t>783950010RAB</t>
  </si>
  <si>
    <t>784</t>
  </si>
  <si>
    <t>784442002R00</t>
  </si>
  <si>
    <t>784401802R00</t>
  </si>
  <si>
    <t>784011221R00</t>
  </si>
  <si>
    <t>941955002R00</t>
  </si>
  <si>
    <t>952901114T00</t>
  </si>
  <si>
    <t>S</t>
  </si>
  <si>
    <t>979017111R00</t>
  </si>
  <si>
    <t>979017191R00</t>
  </si>
  <si>
    <t>979082111R00</t>
  </si>
  <si>
    <t>979081111R00</t>
  </si>
  <si>
    <t>979081121R00</t>
  </si>
  <si>
    <t>979990101R00</t>
  </si>
  <si>
    <t>979990191R00</t>
  </si>
  <si>
    <t>979990162R00</t>
  </si>
  <si>
    <t>H01</t>
  </si>
  <si>
    <t>998011002R00</t>
  </si>
  <si>
    <t>Stavební úpravy hygienických místností základní školy Tyršova 1, Nový Jičín</t>
  </si>
  <si>
    <t>Budova školského zařízení</t>
  </si>
  <si>
    <t>Tyršova 1, 741 01 Nový Jičín</t>
  </si>
  <si>
    <t>Zkrácený popis</t>
  </si>
  <si>
    <t>Rozměry</t>
  </si>
  <si>
    <t>Hygienické zařízení chlapci+muži zaměst.3.NP</t>
  </si>
  <si>
    <t>Dokončovací práce - obklady</t>
  </si>
  <si>
    <t>Odsekání vnitřních obkladů</t>
  </si>
  <si>
    <t>Montáž obkladů stěn, porovin.,tmel, nad 20x25 cm</t>
  </si>
  <si>
    <t>Obkládačka 20x25 světle zelená,modrá lesk</t>
  </si>
  <si>
    <t>Barevnost bude odsouhlasena investorem před objednávkou</t>
  </si>
  <si>
    <t>Lišta hliníková ukončovacích k obkladům</t>
  </si>
  <si>
    <t>Penetrace podkladu pod obklady</t>
  </si>
  <si>
    <t>Otvor v obkladačce diamant.korunkou prům.do 90 mm</t>
  </si>
  <si>
    <t>Přesun hmot pro obklady keramické, výšky do 12 m</t>
  </si>
  <si>
    <t>Podlahy z dlaždic</t>
  </si>
  <si>
    <t>Vybourání keramické nebo teracové dlažby</t>
  </si>
  <si>
    <t>Penetrace podkladu pod dlažby</t>
  </si>
  <si>
    <t>Vyrovnání podkladů samonivel. hmotou tl. do 10 mm</t>
  </si>
  <si>
    <t>samonivelační podlahová hmota</t>
  </si>
  <si>
    <t>Montáž podlah keram.,hladké, tmel, 30x30 cm</t>
  </si>
  <si>
    <t>Dlažba 300x300x9 mm, světle zelená,modrá lesk</t>
  </si>
  <si>
    <t>Lišta hliníková přechodová, různá výška dlaždic</t>
  </si>
  <si>
    <t>Přesun hmot pro podlahy z dlaždic, výšky do 12 m</t>
  </si>
  <si>
    <t>Podlahy a podlahové konstrukce</t>
  </si>
  <si>
    <t>Vybourání betonové mazaniny</t>
  </si>
  <si>
    <t>30% plochy</t>
  </si>
  <si>
    <t>Mazanina z betonu C 16/20, tloušťka 5 cm</t>
  </si>
  <si>
    <t>Úrava povrchů, podlahy a osazování výplní</t>
  </si>
  <si>
    <t>Hrubá výplň rýh ve stěnách do 5x5 cm maltou ze SMS</t>
  </si>
  <si>
    <t>Omítka vnitřní zdiva, MVC, hrubá zatřená</t>
  </si>
  <si>
    <t>plocha pod obklady</t>
  </si>
  <si>
    <t>Začištění omítek kolem oken, dveří, obkladů apod.</t>
  </si>
  <si>
    <t>Zdravotechnika - vnitřní kanalizace</t>
  </si>
  <si>
    <t>Potrubí HT připojovací D 110 x 2,7 mm</t>
  </si>
  <si>
    <t>Potrubí HT připojovací D 50 x 1,8 mm</t>
  </si>
  <si>
    <t>Vyvedení odpadních výpustek D 110 x 2,3</t>
  </si>
  <si>
    <t>Vyvedení odpadních výpustek D 50 x 1,8</t>
  </si>
  <si>
    <t>Oprava - propojení dosavadního potrubí PVC D 63</t>
  </si>
  <si>
    <t>Oprava - propojení dosavadního potrubí PVC D 110</t>
  </si>
  <si>
    <t>Demontáž potrubí z PVC do D 114 mm</t>
  </si>
  <si>
    <t>Podlahová vpust průběžná 50 nerez, suchá klapka</t>
  </si>
  <si>
    <t>Demontáž vpusti vanové DN 70</t>
  </si>
  <si>
    <t>Zkousky v ramci montaz.praci</t>
  </si>
  <si>
    <t>Přesun hmot pro vnitřní kanalizaci, výšky do 12 m</t>
  </si>
  <si>
    <t>Zdravotechnika - zařízovací předměty</t>
  </si>
  <si>
    <t>Demontáž klozetů kombinovaných</t>
  </si>
  <si>
    <t>Montáž klozetových mís normálních</t>
  </si>
  <si>
    <t>Klozet kombi. vodor. odpad, boční napouštění</t>
  </si>
  <si>
    <t>Výlevka stojící s plastovou mřížkou</t>
  </si>
  <si>
    <t>Sedátko klozetové bílé</t>
  </si>
  <si>
    <t>Montáž splachovacích nádrží vysokopoložených</t>
  </si>
  <si>
    <t xml:space="preserve"> univerzální WC nádržka</t>
  </si>
  <si>
    <t>Trubice splachovací dělená d 32</t>
  </si>
  <si>
    <t>Demontáž pisoárů s nádrží + 1 záchodkem</t>
  </si>
  <si>
    <t>Montáž pisoáru s automatickým splachovačem</t>
  </si>
  <si>
    <t>Pisoárová mísa diturvitová</t>
  </si>
  <si>
    <t>Splachovač pisoáru radarový</t>
  </si>
  <si>
    <t>Demontáž umyvadel bez výtokových armatur</t>
  </si>
  <si>
    <t>Montáž krytu sifonu umyvadel</t>
  </si>
  <si>
    <t>Montáž umyvadla na šrouby do zdiva</t>
  </si>
  <si>
    <t>Umyvadlo 55x42 cm bez otv. pro baterii</t>
  </si>
  <si>
    <t>Polosloup pro umyvadlo bílý</t>
  </si>
  <si>
    <t>Montáž dávkovače tekutého mýdla</t>
  </si>
  <si>
    <t>Dávkovač tekutého mýdla nerezový 0,5 l</t>
  </si>
  <si>
    <t>Montáž zásobníku na toal. papír / papírové ručníky</t>
  </si>
  <si>
    <t>Zásobník na papírové ručníky nerezový</t>
  </si>
  <si>
    <t>Zásobník dvou toaletních rolí nerezový</t>
  </si>
  <si>
    <t>Demontáž baterie nástěnné do G 3/4</t>
  </si>
  <si>
    <t>Montáž baterie umyv.a dřezové nástěnné</t>
  </si>
  <si>
    <t>Baterie umyvadlová nástěnná ruční</t>
  </si>
  <si>
    <t>Dvířka z plastu, 200 x 300 mm</t>
  </si>
  <si>
    <t>Přesun hmot pro zařizovací předměty, výšky do 12 m</t>
  </si>
  <si>
    <t>Zdravotechnika - vnitřní vodovod</t>
  </si>
  <si>
    <t>Demontáž potrubí ocelových závitových DN 25</t>
  </si>
  <si>
    <t>Potrubí z PPR, D 20x3,4 mm, PN 20, vč. zed. výpom.</t>
  </si>
  <si>
    <t>Propojení plastového potrubí polyf.D 16 mm,vodovod</t>
  </si>
  <si>
    <t>Uzavření/otevření vodovodního potrubí při opravě</t>
  </si>
  <si>
    <t>Přesun hmot pro vnitřní vodovod, výšky do 12 m</t>
  </si>
  <si>
    <t>Ústřední vytápění - otopná tělesa</t>
  </si>
  <si>
    <t>Demontáž otopných těles ocelových článkových</t>
  </si>
  <si>
    <t>Montáž otopných těles ocelových článkových</t>
  </si>
  <si>
    <t>Odpojení a připojení otopných těles po nátěru</t>
  </si>
  <si>
    <t>Vypuštění vody z otopných těles</t>
  </si>
  <si>
    <t>Napuštění vody do otopného systému - bez kotle</t>
  </si>
  <si>
    <t>Přesun hmot pro otopná tělesa, výšky do 12 m</t>
  </si>
  <si>
    <t>Elektromontáže</t>
  </si>
  <si>
    <t>Montáž krabice kruhové do dutých stěn se zapojením</t>
  </si>
  <si>
    <t>Uložení krabice hranaté pod omítku bez zapojení</t>
  </si>
  <si>
    <t>Montáž vypínače hlavního 1pól modulového do 25 A</t>
  </si>
  <si>
    <t>Spínač nástěnný jednopól.- řaz. 1, obyč.prostředí</t>
  </si>
  <si>
    <t>Montáž LED svítidla stropního přisazeného</t>
  </si>
  <si>
    <t>Montáž LED svítidla nástěnného přisazeného</t>
  </si>
  <si>
    <t>Svítidlo LED bytové stropní přisazené</t>
  </si>
  <si>
    <t>Dopojení pisoáru</t>
  </si>
  <si>
    <t>stávající osvětlení, vypínače atd, bez rozvodů</t>
  </si>
  <si>
    <t>Demontážní práce</t>
  </si>
  <si>
    <t>Konstrukce truhlářské</t>
  </si>
  <si>
    <t>Vyvěšení dřevěných dveřních křídel pl. do 2 m2</t>
  </si>
  <si>
    <t>Montáž dveří, oc. zárubeň, kyvné 1kř. š. do 1m, MD</t>
  </si>
  <si>
    <t>Seříznutí dveřních křídel  kompletizovaných</t>
  </si>
  <si>
    <t>Dveře vnitřní hladké plné 1kř. 60x197</t>
  </si>
  <si>
    <t>Dveře vnitřní hladké plné 1kř. 90x197</t>
  </si>
  <si>
    <t>Kliky se štítem dveř.  804  klíč/90 Cr</t>
  </si>
  <si>
    <t>Demontáž prahů dveří 1křídlových</t>
  </si>
  <si>
    <t>Přesun hmot pro truhlářské konstr., výšky do 12 m</t>
  </si>
  <si>
    <t>Dokončovací práce - nátěry</t>
  </si>
  <si>
    <t>Oprava nátěrů kovových konstrukcí syntet. lakem</t>
  </si>
  <si>
    <t>Dokončovací práce - malby a tapety</t>
  </si>
  <si>
    <t>Malba disperzní interiérová,výška do 5m</t>
  </si>
  <si>
    <t>Odstranění malby obroušením v místnosti H do 5 m</t>
  </si>
  <si>
    <t>Zakrytí předmětů, včetně odstranění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</si>
  <si>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</si>
  <si>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</si>
  <si>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</si>
  <si>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nad 4 m</t>
  </si>
  <si>
    <t>Přesuny sutí</t>
  </si>
  <si>
    <t>Svislé přemístění suti nošením na H do 3,5 m</t>
  </si>
  <si>
    <t>Příplatek k přemístění suti za dalších H 3,5 m</t>
  </si>
  <si>
    <t>Vnitrostaveništní doprava suti do 10 m</t>
  </si>
  <si>
    <t>Odvoz suti a vybour. hmot na skládku do 1 km</t>
  </si>
  <si>
    <t>Příplatek k odvozu za každý další 1 km</t>
  </si>
  <si>
    <t>Poplatek za uložení směsi betonu a cihel skupina 170101 a 170102</t>
  </si>
  <si>
    <t>Poplatek za uložení suti - plastové výrobky, skupina odpadu 170203</t>
  </si>
  <si>
    <t>Poplatek za uložení suti - dřevo+sklo, skupina odpadu 170904</t>
  </si>
  <si>
    <t>Budovy občanské výstavby</t>
  </si>
  <si>
    <t>Přesun hmot pro budovy zděné výšky do 12 m</t>
  </si>
  <si>
    <t>Hygienické zařízení dívky+ženy zaměst.3.NP</t>
  </si>
  <si>
    <t>Doba výstavby:</t>
  </si>
  <si>
    <t>Začátek výstavby:</t>
  </si>
  <si>
    <t>Konec výstavby:</t>
  </si>
  <si>
    <t>Zpracováno dne:</t>
  </si>
  <si>
    <t>14.04.2023</t>
  </si>
  <si>
    <t>Objednatel:</t>
  </si>
  <si>
    <t>Projektant: Ing. Václav Toška</t>
  </si>
  <si>
    <t>Zhotovitel:</t>
  </si>
  <si>
    <t>Zpracoval:</t>
  </si>
  <si>
    <t>MJ</t>
  </si>
  <si>
    <t>m2</t>
  </si>
  <si>
    <t>m</t>
  </si>
  <si>
    <t>kus</t>
  </si>
  <si>
    <t>t</t>
  </si>
  <si>
    <t>kg</t>
  </si>
  <si>
    <t>Soub.</t>
  </si>
  <si>
    <t>soubor</t>
  </si>
  <si>
    <t>Množství</t>
  </si>
  <si>
    <t>Základní škola Nový Jičín, Tyršova 1, příspěvková</t>
  </si>
  <si>
    <t>Ing.Václav Toška, Zahradní 455, 74242 Šenov u NJ</t>
  </si>
  <si>
    <t> </t>
  </si>
  <si>
    <t>Ing Václav Toška</t>
  </si>
  <si>
    <t>Cena/MJ</t>
  </si>
  <si>
    <t>(Kč)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</si>
  <si>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</si>
  <si>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</si>
  <si>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</si>
  <si>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</si>
  <si>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</si>
  <si>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</si>
  <si>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</si>
  <si>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</si>
  <si>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</si>
  <si>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</si>
  <si>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</si>
  <si>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</si>
  <si>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</si>
  <si>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</si>
  <si>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781_</t>
  </si>
  <si>
    <t>771_</t>
  </si>
  <si>
    <t>63_</t>
  </si>
  <si>
    <t>6_</t>
  </si>
  <si>
    <t>721_</t>
  </si>
  <si>
    <t>722_</t>
  </si>
  <si>
    <t>772_</t>
  </si>
  <si>
    <t>735_</t>
  </si>
  <si>
    <t>21_</t>
  </si>
  <si>
    <t>766_</t>
  </si>
  <si>
    <t>783_</t>
  </si>
  <si>
    <t>784_</t>
  </si>
  <si>
    <t>94_</t>
  </si>
  <si>
    <t>95_</t>
  </si>
  <si>
    <t>S_</t>
  </si>
  <si>
    <t>H01_</t>
  </si>
  <si>
    <t>SO1_78_</t>
  </si>
  <si>
    <t>SO1_77_</t>
  </si>
  <si>
    <t>SO1_6_</t>
  </si>
  <si>
    <t>SO1_72_</t>
  </si>
  <si>
    <t>SO1_73_</t>
  </si>
  <si>
    <t>SO1_2_</t>
  </si>
  <si>
    <t>SO1_76_</t>
  </si>
  <si>
    <t>SO1_9_</t>
  </si>
  <si>
    <t>SO2_78_</t>
  </si>
  <si>
    <t>SO2_77_</t>
  </si>
  <si>
    <t>SO2_6_</t>
  </si>
  <si>
    <t>SO2_72_</t>
  </si>
  <si>
    <t>SO2_73_</t>
  </si>
  <si>
    <t>SO2_2_</t>
  </si>
  <si>
    <t>SO2_76_</t>
  </si>
  <si>
    <t>SO2_9_</t>
  </si>
  <si>
    <t>SO1_</t>
  </si>
  <si>
    <t>SO2_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</si>
  <si>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</si>
  <si>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</si>
  <si>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</si>
  <si>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</si>
  <si>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</si>
  <si>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</si>
  <si>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</si>
  <si>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</si>
  <si>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Náklady (Kč) - dodávka</t>
  </si>
  <si>
    <t>Náklady (Kč) - Montáž</t>
  </si>
  <si>
    <t>Náklady (Kč) - celkem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</si>
  <si>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</si>
  <si>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</si>
  <si>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</si>
  <si>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</si>
  <si>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</si>
  <si>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</si>
  <si>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</si>
  <si>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</si>
  <si>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</si>
  <si>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</si>
  <si>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</si>
  <si>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</si>
  <si>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</si>
  <si>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</si>
  <si>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</si>
  <si>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</si>
  <si>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</si>
  <si>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</si>
  <si>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</si>
  <si>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</si>
  <si>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</si>
  <si>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</si>
  <si>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</si>
  <si>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</si>
  <si>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</si>
  <si>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</si>
  <si>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</si>
  <si>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</si>
  <si>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</si>
  <si>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</si>
  <si>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</si>
  <si>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</si>
  <si>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</si>
  <si>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</si>
  <si>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</si>
  <si>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</si>
  <si>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</si>
  <si>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</si>
  <si>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</si>
  <si>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</si>
  <si>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</si>
  <si>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</si>
  <si>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</si>
  <si>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</si>
  <si>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</si>
  <si>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</si>
  <si>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62330136/CZ62330136</t>
  </si>
  <si>
    <t>01546490/CZ8806235724</t>
  </si>
  <si>
    <t>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</si>
</sst>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9" fillId="33" borderId="18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8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9" fillId="33" borderId="26" xfId="0" applyNumberFormat="1" applyFont="1" applyFill="1" applyBorder="1" applyAlignment="1" applyProtection="1">
      <alignment horizontal="right" vertical="center"/>
      <protection/>
    </xf>
    <xf numFmtId="4" fontId="10" fillId="34" borderId="27" xfId="0" applyNumberFormat="1" applyFont="1" applyFill="1" applyBorder="1" applyAlignment="1" applyProtection="1">
      <alignment horizontal="right" vertical="center"/>
      <protection/>
    </xf>
    <xf numFmtId="4" fontId="6" fillId="0" borderId="27" xfId="0" applyNumberFormat="1" applyFont="1" applyFill="1" applyBorder="1" applyAlignment="1" applyProtection="1">
      <alignment horizontal="right" vertical="center"/>
      <protection/>
    </xf>
    <xf numFmtId="4" fontId="7" fillId="0" borderId="27" xfId="0" applyNumberFormat="1" applyFont="1" applyFill="1" applyBorder="1" applyAlignment="1" applyProtection="1">
      <alignment horizontal="right" vertical="center"/>
      <protection/>
    </xf>
    <xf numFmtId="4" fontId="9" fillId="33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3" fillId="35" borderId="33" xfId="0" applyNumberFormat="1" applyFont="1" applyFill="1" applyBorder="1" applyAlignment="1" applyProtection="1">
      <alignment horizontal="center" vertical="center"/>
      <protection/>
    </xf>
    <xf numFmtId="49" fontId="14" fillId="0" borderId="32" xfId="0" applyNumberFormat="1" applyFont="1" applyFill="1" applyBorder="1" applyAlignment="1" applyProtection="1">
      <alignment horizontal="left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49" fontId="15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5" fillId="0" borderId="33" xfId="0" applyNumberFormat="1" applyFont="1" applyFill="1" applyBorder="1" applyAlignment="1" applyProtection="1">
      <alignment horizontal="right" vertical="center"/>
      <protection/>
    </xf>
    <xf numFmtId="49" fontId="15" fillId="0" borderId="33" xfId="0" applyNumberFormat="1" applyFont="1" applyFill="1" applyBorder="1" applyAlignment="1" applyProtection="1">
      <alignment horizontal="right" vertical="center"/>
      <protection/>
    </xf>
    <xf numFmtId="4" fontId="15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4" fillId="35" borderId="3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39" xfId="0" applyNumberFormat="1" applyFont="1" applyFill="1" applyBorder="1" applyAlignment="1" applyProtection="1">
      <alignment horizontal="left" vertical="center"/>
      <protection/>
    </xf>
    <xf numFmtId="49" fontId="15" fillId="0" borderId="40" xfId="0" applyNumberFormat="1" applyFont="1" applyFill="1" applyBorder="1" applyAlignment="1" applyProtection="1">
      <alignment horizontal="left"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49" fontId="14" fillId="35" borderId="37" xfId="0" applyNumberFormat="1" applyFont="1" applyFill="1" applyBorder="1" applyAlignment="1" applyProtection="1">
      <alignment horizontal="left" vertical="center"/>
      <protection/>
    </xf>
    <xf numFmtId="0" fontId="14" fillId="35" borderId="43" xfId="0" applyNumberFormat="1" applyFont="1" applyFill="1" applyBorder="1" applyAlignment="1" applyProtection="1">
      <alignment horizontal="left" vertical="center"/>
      <protection/>
    </xf>
    <xf numFmtId="49" fontId="15" fillId="0" borderId="44" xfId="0" applyNumberFormat="1" applyFont="1" applyFill="1" applyBorder="1" applyAlignment="1" applyProtection="1">
      <alignment horizontal="left" vertical="center"/>
      <protection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center" vertical="center"/>
      <protection/>
    </xf>
    <xf numFmtId="0" fontId="12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left" vertical="center"/>
      <protection/>
    </xf>
    <xf numFmtId="0" fontId="16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27" xfId="0" applyNumberFormat="1" applyFont="1" applyFill="1" applyBorder="1" applyAlignment="1" applyProtection="1">
      <alignment horizontal="left" vertical="top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49" fontId="9" fillId="33" borderId="18" xfId="0" applyNumberFormat="1" applyFont="1" applyFill="1" applyBorder="1" applyAlignment="1" applyProtection="1">
      <alignment horizontal="left" vertical="center"/>
      <protection/>
    </xf>
    <xf numFmtId="0" fontId="9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9"/>
      <c r="B1" s="62"/>
      <c r="C1" s="110" t="s">
        <v>550</v>
      </c>
      <c r="D1" s="111"/>
      <c r="E1" s="111"/>
      <c r="F1" s="111"/>
      <c r="G1" s="111"/>
      <c r="H1" s="111"/>
      <c r="I1" s="111"/>
    </row>
    <row r="2" spans="1:10" ht="12.75">
      <c r="A2" s="112" t="s">
        <v>1</v>
      </c>
      <c r="B2" s="113"/>
      <c r="C2" s="114" t="str">
        <f>'Stavební rozpočet'!D2</f>
        <v>Stavební úpravy hygienických místností základní školy Tyršova 1, Nový Jičín</v>
      </c>
      <c r="D2" s="115"/>
      <c r="E2" s="117" t="s">
        <v>455</v>
      </c>
      <c r="F2" s="117" t="str">
        <f>'Stavební rozpočet'!K2</f>
        <v>Základní škola Nový Jičín, Tyršova 1, příspěvková</v>
      </c>
      <c r="G2" s="113"/>
      <c r="H2" s="117" t="s">
        <v>575</v>
      </c>
      <c r="I2" s="118" t="s">
        <v>579</v>
      </c>
      <c r="J2" s="7"/>
    </row>
    <row r="3" spans="1:10" ht="25.5" customHeight="1">
      <c r="A3" s="107"/>
      <c r="B3" s="81"/>
      <c r="C3" s="116"/>
      <c r="D3" s="116"/>
      <c r="E3" s="81"/>
      <c r="F3" s="81"/>
      <c r="G3" s="81"/>
      <c r="H3" s="81"/>
      <c r="I3" s="109"/>
      <c r="J3" s="7"/>
    </row>
    <row r="4" spans="1:10" ht="12.75">
      <c r="A4" s="101" t="s">
        <v>2</v>
      </c>
      <c r="B4" s="81"/>
      <c r="C4" s="80" t="str">
        <f>'Stavební rozpočet'!D4</f>
        <v>Budova školského zařízení</v>
      </c>
      <c r="D4" s="81"/>
      <c r="E4" s="80" t="s">
        <v>456</v>
      </c>
      <c r="F4" s="80" t="str">
        <f>'Stavební rozpočet'!K4</f>
        <v>Ing.Václav Toška, Zahradní 455, 74242 Šenov u NJ</v>
      </c>
      <c r="G4" s="81"/>
      <c r="H4" s="80" t="s">
        <v>575</v>
      </c>
      <c r="I4" s="108" t="s">
        <v>580</v>
      </c>
      <c r="J4" s="7"/>
    </row>
    <row r="5" spans="1:10" ht="12.75">
      <c r="A5" s="107"/>
      <c r="B5" s="81"/>
      <c r="C5" s="81"/>
      <c r="D5" s="81"/>
      <c r="E5" s="81"/>
      <c r="F5" s="81"/>
      <c r="G5" s="81"/>
      <c r="H5" s="81"/>
      <c r="I5" s="109"/>
      <c r="J5" s="7"/>
    </row>
    <row r="6" spans="1:10" ht="12.75">
      <c r="A6" s="101" t="s">
        <v>3</v>
      </c>
      <c r="B6" s="81"/>
      <c r="C6" s="80" t="str">
        <f>'Stavební rozpočet'!D6</f>
        <v>Tyršova 1, 741 01 Nový Jičín</v>
      </c>
      <c r="D6" s="81"/>
      <c r="E6" s="80" t="s">
        <v>457</v>
      </c>
      <c r="F6" s="80" t="str">
        <f>'Stavební rozpočet'!K6</f>
        <v> </v>
      </c>
      <c r="G6" s="81"/>
      <c r="H6" s="80" t="s">
        <v>575</v>
      </c>
      <c r="I6" s="108"/>
      <c r="J6" s="7"/>
    </row>
    <row r="7" spans="1:10" ht="12.75">
      <c r="A7" s="107"/>
      <c r="B7" s="81"/>
      <c r="C7" s="81"/>
      <c r="D7" s="81"/>
      <c r="E7" s="81"/>
      <c r="F7" s="81"/>
      <c r="G7" s="81"/>
      <c r="H7" s="81"/>
      <c r="I7" s="109"/>
      <c r="J7" s="7"/>
    </row>
    <row r="8" spans="1:10" ht="12.75">
      <c r="A8" s="101" t="s">
        <v>451</v>
      </c>
      <c r="B8" s="81"/>
      <c r="C8" s="80" t="str">
        <f>'Stavební rozpočet'!H4</f>
        <v> </v>
      </c>
      <c r="D8" s="81"/>
      <c r="E8" s="80" t="s">
        <v>452</v>
      </c>
      <c r="F8" s="80" t="str">
        <f>'Stavební rozpočet'!H6</f>
        <v> </v>
      </c>
      <c r="G8" s="81"/>
      <c r="H8" s="104" t="s">
        <v>576</v>
      </c>
      <c r="I8" s="108" t="s">
        <v>204</v>
      </c>
      <c r="J8" s="7"/>
    </row>
    <row r="9" spans="1:10" ht="12.75">
      <c r="A9" s="107"/>
      <c r="B9" s="81"/>
      <c r="C9" s="81"/>
      <c r="D9" s="81"/>
      <c r="E9" s="81"/>
      <c r="F9" s="81"/>
      <c r="G9" s="81"/>
      <c r="H9" s="81"/>
      <c r="I9" s="109"/>
      <c r="J9" s="7"/>
    </row>
    <row r="10" spans="1:10" ht="12.75">
      <c r="A10" s="101" t="s">
        <v>4</v>
      </c>
      <c r="B10" s="81"/>
      <c r="C10" s="80" t="str">
        <f>'Stavební rozpočet'!D8</f>
        <v> </v>
      </c>
      <c r="D10" s="81"/>
      <c r="E10" s="80" t="s">
        <v>458</v>
      </c>
      <c r="F10" s="80" t="str">
        <f>'Stavební rozpočet'!K8</f>
        <v>Ing Václav Toška</v>
      </c>
      <c r="G10" s="81"/>
      <c r="H10" s="104" t="s">
        <v>577</v>
      </c>
      <c r="I10" s="105" t="str">
        <f>'Stavební rozpočet'!H8</f>
        <v>14.04.2023</v>
      </c>
      <c r="J10" s="7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106"/>
      <c r="J11" s="7"/>
    </row>
    <row r="12" spans="1:9" ht="23.25" customHeight="1">
      <c r="A12" s="97" t="s">
        <v>535</v>
      </c>
      <c r="B12" s="98"/>
      <c r="C12" s="98"/>
      <c r="D12" s="98"/>
      <c r="E12" s="98"/>
      <c r="F12" s="98"/>
      <c r="G12" s="98"/>
      <c r="H12" s="98"/>
      <c r="I12" s="98"/>
    </row>
    <row r="13" spans="1:10" ht="26.25" customHeight="1">
      <c r="A13" s="63" t="s">
        <v>536</v>
      </c>
      <c r="B13" s="99" t="s">
        <v>548</v>
      </c>
      <c r="C13" s="100"/>
      <c r="D13" s="63" t="s">
        <v>551</v>
      </c>
      <c r="E13" s="99" t="s">
        <v>560</v>
      </c>
      <c r="F13" s="100"/>
      <c r="G13" s="63" t="s">
        <v>561</v>
      </c>
      <c r="H13" s="99" t="s">
        <v>578</v>
      </c>
      <c r="I13" s="100"/>
      <c r="J13" s="7"/>
    </row>
    <row r="14" spans="1:10" ht="15" customHeight="1">
      <c r="A14" s="64" t="s">
        <v>537</v>
      </c>
      <c r="B14" s="68" t="s">
        <v>549</v>
      </c>
      <c r="C14" s="72">
        <f>SUM('Stavební rozpočet'!AB12:AB254)</f>
        <v>0</v>
      </c>
      <c r="D14" s="95" t="s">
        <v>552</v>
      </c>
      <c r="E14" s="96"/>
      <c r="F14" s="72">
        <v>0</v>
      </c>
      <c r="G14" s="95" t="s">
        <v>562</v>
      </c>
      <c r="H14" s="96"/>
      <c r="I14" s="73" t="s">
        <v>581</v>
      </c>
      <c r="J14" s="7"/>
    </row>
    <row r="15" spans="1:10" ht="15" customHeight="1">
      <c r="A15" s="65"/>
      <c r="B15" s="68" t="s">
        <v>477</v>
      </c>
      <c r="C15" s="72">
        <f>SUM('Stavební rozpočet'!AC12:AC254)</f>
        <v>0</v>
      </c>
      <c r="D15" s="95" t="s">
        <v>553</v>
      </c>
      <c r="E15" s="96"/>
      <c r="F15" s="72">
        <v>0</v>
      </c>
      <c r="G15" s="95" t="s">
        <v>563</v>
      </c>
      <c r="H15" s="96"/>
      <c r="I15" s="73" t="s">
        <v>581</v>
      </c>
      <c r="J15" s="7"/>
    </row>
    <row r="16" spans="1:10" ht="15" customHeight="1">
      <c r="A16" s="64" t="s">
        <v>538</v>
      </c>
      <c r="B16" s="68" t="s">
        <v>549</v>
      </c>
      <c r="C16" s="72">
        <f>SUM('Stavební rozpočet'!AD12:AD254)</f>
        <v>0</v>
      </c>
      <c r="D16" s="95" t="s">
        <v>554</v>
      </c>
      <c r="E16" s="96"/>
      <c r="F16" s="72">
        <v>0</v>
      </c>
      <c r="G16" s="95" t="s">
        <v>564</v>
      </c>
      <c r="H16" s="96"/>
      <c r="I16" s="73" t="s">
        <v>581</v>
      </c>
      <c r="J16" s="7"/>
    </row>
    <row r="17" spans="1:10" ht="15" customHeight="1">
      <c r="A17" s="65"/>
      <c r="B17" s="68" t="s">
        <v>477</v>
      </c>
      <c r="C17" s="72">
        <f>SUM('Stavební rozpočet'!AE12:AE254)</f>
        <v>0</v>
      </c>
      <c r="D17" s="95"/>
      <c r="E17" s="96"/>
      <c r="F17" s="73"/>
      <c r="G17" s="95" t="s">
        <v>565</v>
      </c>
      <c r="H17" s="96"/>
      <c r="I17" s="73" t="s">
        <v>581</v>
      </c>
      <c r="J17" s="7"/>
    </row>
    <row r="18" spans="1:10" ht="15" customHeight="1">
      <c r="A18" s="64" t="s">
        <v>539</v>
      </c>
      <c r="B18" s="68" t="s">
        <v>549</v>
      </c>
      <c r="C18" s="72">
        <f>SUM('Stavební rozpočet'!AF12:AF254)</f>
        <v>0</v>
      </c>
      <c r="D18" s="95"/>
      <c r="E18" s="96"/>
      <c r="F18" s="73"/>
      <c r="G18" s="95" t="s">
        <v>566</v>
      </c>
      <c r="H18" s="96"/>
      <c r="I18" s="73" t="s">
        <v>581</v>
      </c>
      <c r="J18" s="7"/>
    </row>
    <row r="19" spans="1:10" ht="15" customHeight="1">
      <c r="A19" s="65"/>
      <c r="B19" s="68" t="s">
        <v>477</v>
      </c>
      <c r="C19" s="72">
        <f>SUM('Stavební rozpočet'!AG12:AG254)</f>
        <v>0</v>
      </c>
      <c r="D19" s="95"/>
      <c r="E19" s="96"/>
      <c r="F19" s="73"/>
      <c r="G19" s="95" t="s">
        <v>567</v>
      </c>
      <c r="H19" s="96"/>
      <c r="I19" s="73" t="s">
        <v>581</v>
      </c>
      <c r="J19" s="7"/>
    </row>
    <row r="20" spans="1:10" ht="15" customHeight="1">
      <c r="A20" s="93" t="s">
        <v>540</v>
      </c>
      <c r="B20" s="94"/>
      <c r="C20" s="72">
        <f>SUM('Stavební rozpočet'!AH12:AH254)</f>
        <v>0</v>
      </c>
      <c r="D20" s="95"/>
      <c r="E20" s="96"/>
      <c r="F20" s="73"/>
      <c r="G20" s="95"/>
      <c r="H20" s="96"/>
      <c r="I20" s="73"/>
      <c r="J20" s="7"/>
    </row>
    <row r="21" spans="1:10" ht="15" customHeight="1">
      <c r="A21" s="93" t="s">
        <v>541</v>
      </c>
      <c r="B21" s="94"/>
      <c r="C21" s="72">
        <f>SUM('Stavební rozpočet'!Z12:Z254)</f>
        <v>0</v>
      </c>
      <c r="D21" s="95"/>
      <c r="E21" s="96"/>
      <c r="F21" s="73"/>
      <c r="G21" s="95"/>
      <c r="H21" s="96"/>
      <c r="I21" s="73"/>
      <c r="J21" s="7"/>
    </row>
    <row r="22" spans="1:10" ht="16.5" customHeight="1">
      <c r="A22" s="93" t="s">
        <v>542</v>
      </c>
      <c r="B22" s="94"/>
      <c r="C22" s="72">
        <f>SUM(C14:C21)</f>
        <v>0</v>
      </c>
      <c r="D22" s="93" t="s">
        <v>555</v>
      </c>
      <c r="E22" s="94"/>
      <c r="F22" s="72">
        <f>SUM(F14:F21)</f>
        <v>0</v>
      </c>
      <c r="G22" s="93" t="s">
        <v>568</v>
      </c>
      <c r="H22" s="94"/>
      <c r="I22" s="72">
        <f>SUM(I14:I21)</f>
        <v>0</v>
      </c>
      <c r="J22" s="7"/>
    </row>
    <row r="23" spans="1:10" ht="15" customHeight="1">
      <c r="A23" s="10"/>
      <c r="B23" s="10"/>
      <c r="C23" s="70"/>
      <c r="D23" s="93" t="s">
        <v>556</v>
      </c>
      <c r="E23" s="94"/>
      <c r="F23" s="74">
        <v>0</v>
      </c>
      <c r="G23" s="93" t="s">
        <v>569</v>
      </c>
      <c r="H23" s="94"/>
      <c r="I23" s="72">
        <v>0</v>
      </c>
      <c r="J23" s="7"/>
    </row>
    <row r="24" spans="4:9" ht="15" customHeight="1">
      <c r="D24" s="10"/>
      <c r="E24" s="10"/>
      <c r="F24" s="75"/>
      <c r="G24" s="93" t="s">
        <v>570</v>
      </c>
      <c r="H24" s="94"/>
      <c r="I24" s="77"/>
    </row>
    <row r="25" spans="6:10" ht="15" customHeight="1">
      <c r="F25" s="76"/>
      <c r="G25" s="93" t="s">
        <v>571</v>
      </c>
      <c r="H25" s="94"/>
      <c r="I25" s="72">
        <v>0</v>
      </c>
      <c r="J25" s="7"/>
    </row>
    <row r="26" spans="1:9" ht="12.75">
      <c r="A26" s="62"/>
      <c r="B26" s="62"/>
      <c r="C26" s="62"/>
      <c r="G26" s="10"/>
      <c r="H26" s="10"/>
      <c r="I26" s="10"/>
    </row>
    <row r="27" spans="1:9" ht="15" customHeight="1">
      <c r="A27" s="88" t="s">
        <v>543</v>
      </c>
      <c r="B27" s="89"/>
      <c r="C27" s="78">
        <f>SUM('Stavební rozpočet'!AJ12:AJ254)</f>
        <v>0</v>
      </c>
      <c r="D27" s="71"/>
      <c r="E27" s="62"/>
      <c r="F27" s="62"/>
      <c r="G27" s="62"/>
      <c r="H27" s="62"/>
      <c r="I27" s="62"/>
    </row>
    <row r="28" spans="1:10" ht="15" customHeight="1">
      <c r="A28" s="88" t="s">
        <v>544</v>
      </c>
      <c r="B28" s="89"/>
      <c r="C28" s="78">
        <f>SUM('Stavební rozpočet'!AK12:AK254)</f>
        <v>0</v>
      </c>
      <c r="D28" s="88" t="s">
        <v>557</v>
      </c>
      <c r="E28" s="89"/>
      <c r="F28" s="78">
        <f>ROUND(C28*(15/100),2)</f>
        <v>0</v>
      </c>
      <c r="G28" s="88" t="s">
        <v>572</v>
      </c>
      <c r="H28" s="89"/>
      <c r="I28" s="78">
        <f>SUM(C27:C29)</f>
        <v>0</v>
      </c>
      <c r="J28" s="7"/>
    </row>
    <row r="29" spans="1:10" ht="15" customHeight="1">
      <c r="A29" s="88" t="s">
        <v>545</v>
      </c>
      <c r="B29" s="89"/>
      <c r="C29" s="78">
        <f>SUM('Stavební rozpočet'!AL12:AL254)+(F22+I22+F23+I23+I24+I25)</f>
        <v>0</v>
      </c>
      <c r="D29" s="88" t="s">
        <v>558</v>
      </c>
      <c r="E29" s="89"/>
      <c r="F29" s="78">
        <f>ROUND(C29*(21/100),2)</f>
        <v>0</v>
      </c>
      <c r="G29" s="88" t="s">
        <v>573</v>
      </c>
      <c r="H29" s="89"/>
      <c r="I29" s="78">
        <f>SUM(F28:F29)+I28</f>
        <v>0</v>
      </c>
      <c r="J29" s="7"/>
    </row>
    <row r="30" spans="1:9" ht="12.75">
      <c r="A30" s="66"/>
      <c r="B30" s="66"/>
      <c r="C30" s="66"/>
      <c r="D30" s="66"/>
      <c r="E30" s="66"/>
      <c r="F30" s="66"/>
      <c r="G30" s="66"/>
      <c r="H30" s="66"/>
      <c r="I30" s="66"/>
    </row>
    <row r="31" spans="1:10" ht="14.25" customHeight="1">
      <c r="A31" s="90" t="s">
        <v>546</v>
      </c>
      <c r="B31" s="91"/>
      <c r="C31" s="92"/>
      <c r="D31" s="90" t="s">
        <v>559</v>
      </c>
      <c r="E31" s="91"/>
      <c r="F31" s="92"/>
      <c r="G31" s="90" t="s">
        <v>574</v>
      </c>
      <c r="H31" s="91"/>
      <c r="I31" s="92"/>
      <c r="J31" s="34"/>
    </row>
    <row r="32" spans="1:10" ht="14.25" customHeight="1">
      <c r="A32" s="82"/>
      <c r="B32" s="83"/>
      <c r="C32" s="84"/>
      <c r="D32" s="82"/>
      <c r="E32" s="83"/>
      <c r="F32" s="84"/>
      <c r="G32" s="82"/>
      <c r="H32" s="83"/>
      <c r="I32" s="84"/>
      <c r="J32" s="34"/>
    </row>
    <row r="33" spans="1:10" ht="14.25" customHeight="1">
      <c r="A33" s="82"/>
      <c r="B33" s="83"/>
      <c r="C33" s="84"/>
      <c r="D33" s="82"/>
      <c r="E33" s="83"/>
      <c r="F33" s="84"/>
      <c r="G33" s="82"/>
      <c r="H33" s="83"/>
      <c r="I33" s="84"/>
      <c r="J33" s="34"/>
    </row>
    <row r="34" spans="1:10" ht="14.25" customHeight="1">
      <c r="A34" s="82"/>
      <c r="B34" s="83"/>
      <c r="C34" s="84"/>
      <c r="D34" s="82"/>
      <c r="E34" s="83"/>
      <c r="F34" s="84"/>
      <c r="G34" s="82"/>
      <c r="H34" s="83"/>
      <c r="I34" s="84"/>
      <c r="J34" s="34"/>
    </row>
    <row r="35" spans="1:10" ht="14.25" customHeight="1">
      <c r="A35" s="85" t="s">
        <v>547</v>
      </c>
      <c r="B35" s="86"/>
      <c r="C35" s="87"/>
      <c r="D35" s="85" t="s">
        <v>547</v>
      </c>
      <c r="E35" s="86"/>
      <c r="F35" s="87"/>
      <c r="G35" s="85" t="s">
        <v>547</v>
      </c>
      <c r="H35" s="86"/>
      <c r="I35" s="87"/>
      <c r="J35" s="34"/>
    </row>
    <row r="36" spans="1:9" ht="11.25" customHeight="1">
      <c r="A36" s="67" t="s">
        <v>205</v>
      </c>
      <c r="B36" s="69"/>
      <c r="C36" s="69"/>
      <c r="D36" s="69"/>
      <c r="E36" s="69"/>
      <c r="F36" s="69"/>
      <c r="G36" s="69"/>
      <c r="H36" s="69"/>
      <c r="I36" s="69"/>
    </row>
    <row r="37" spans="1:9" ht="12.75">
      <c r="A37" s="80"/>
      <c r="B37" s="81"/>
      <c r="C37" s="81"/>
      <c r="D37" s="81"/>
      <c r="E37" s="81"/>
      <c r="F37" s="81"/>
      <c r="G37" s="81"/>
      <c r="H37" s="81"/>
      <c r="I37" s="81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23" t="s">
        <v>529</v>
      </c>
      <c r="B1" s="111"/>
      <c r="C1" s="111"/>
      <c r="D1" s="111"/>
      <c r="E1" s="111"/>
      <c r="F1" s="111"/>
      <c r="G1" s="111"/>
    </row>
    <row r="2" spans="1:8" ht="12.75">
      <c r="A2" s="112" t="s">
        <v>1</v>
      </c>
      <c r="B2" s="113"/>
      <c r="C2" s="114" t="str">
        <f>'Stavební rozpočet'!D2</f>
        <v>Stavební úpravy hygienických místností základní školy Tyršova 1, Nový Jičín</v>
      </c>
      <c r="D2" s="124" t="s">
        <v>450</v>
      </c>
      <c r="E2" s="124" t="s">
        <v>6</v>
      </c>
      <c r="F2" s="117" t="s">
        <v>455</v>
      </c>
      <c r="G2" s="125" t="str">
        <f>'Stavební rozpočet'!K2</f>
        <v>Základní škola Nový Jičín, Tyršova 1, příspěvková</v>
      </c>
      <c r="H2" s="7"/>
    </row>
    <row r="3" spans="1:8" ht="12.75">
      <c r="A3" s="107"/>
      <c r="B3" s="81"/>
      <c r="C3" s="116"/>
      <c r="D3" s="81"/>
      <c r="E3" s="81"/>
      <c r="F3" s="81"/>
      <c r="G3" s="109"/>
      <c r="H3" s="7"/>
    </row>
    <row r="4" spans="1:8" ht="12.75">
      <c r="A4" s="101" t="s">
        <v>2</v>
      </c>
      <c r="B4" s="81"/>
      <c r="C4" s="80" t="str">
        <f>'Stavební rozpočet'!D4</f>
        <v>Budova školského zařízení</v>
      </c>
      <c r="D4" s="104" t="s">
        <v>451</v>
      </c>
      <c r="E4" s="104" t="s">
        <v>6</v>
      </c>
      <c r="F4" s="80" t="s">
        <v>456</v>
      </c>
      <c r="G4" s="105" t="str">
        <f>'Stavební rozpočet'!K4</f>
        <v>Ing.Václav Toška, Zahradní 455, 74242 Šenov u NJ</v>
      </c>
      <c r="H4" s="7"/>
    </row>
    <row r="5" spans="1:8" ht="12.75">
      <c r="A5" s="107"/>
      <c r="B5" s="81"/>
      <c r="C5" s="81"/>
      <c r="D5" s="81"/>
      <c r="E5" s="81"/>
      <c r="F5" s="81"/>
      <c r="G5" s="109"/>
      <c r="H5" s="7"/>
    </row>
    <row r="6" spans="1:8" ht="12.75">
      <c r="A6" s="101" t="s">
        <v>3</v>
      </c>
      <c r="B6" s="81"/>
      <c r="C6" s="80" t="str">
        <f>'Stavební rozpočet'!D6</f>
        <v>Tyršova 1, 741 01 Nový Jičín</v>
      </c>
      <c r="D6" s="104" t="s">
        <v>452</v>
      </c>
      <c r="E6" s="104" t="s">
        <v>6</v>
      </c>
      <c r="F6" s="80" t="s">
        <v>457</v>
      </c>
      <c r="G6" s="105" t="str">
        <f>'Stavební rozpočet'!K6</f>
        <v> </v>
      </c>
      <c r="H6" s="7"/>
    </row>
    <row r="7" spans="1:8" ht="12.75">
      <c r="A7" s="107"/>
      <c r="B7" s="81"/>
      <c r="C7" s="81"/>
      <c r="D7" s="81"/>
      <c r="E7" s="81"/>
      <c r="F7" s="81"/>
      <c r="G7" s="109"/>
      <c r="H7" s="7"/>
    </row>
    <row r="8" spans="1:8" ht="12.75">
      <c r="A8" s="101" t="s">
        <v>458</v>
      </c>
      <c r="B8" s="81"/>
      <c r="C8" s="80" t="str">
        <f>'Stavební rozpočet'!K8</f>
        <v>Ing Václav Toška</v>
      </c>
      <c r="D8" s="104" t="s">
        <v>453</v>
      </c>
      <c r="E8" s="104" t="s">
        <v>454</v>
      </c>
      <c r="F8" s="104" t="s">
        <v>453</v>
      </c>
      <c r="G8" s="105" t="str">
        <f>'Stavební rozpočet'!H8</f>
        <v>14.04.2023</v>
      </c>
      <c r="H8" s="7"/>
    </row>
    <row r="9" spans="1:8" ht="12.75">
      <c r="A9" s="120"/>
      <c r="B9" s="121"/>
      <c r="C9" s="121"/>
      <c r="D9" s="103"/>
      <c r="E9" s="121"/>
      <c r="F9" s="121"/>
      <c r="G9" s="122"/>
      <c r="H9" s="7"/>
    </row>
    <row r="10" spans="1:8" ht="12.75">
      <c r="A10" s="51" t="s">
        <v>206</v>
      </c>
      <c r="B10" s="54" t="s">
        <v>209</v>
      </c>
      <c r="C10" s="56" t="s">
        <v>325</v>
      </c>
      <c r="D10" s="57"/>
      <c r="E10" s="58" t="s">
        <v>530</v>
      </c>
      <c r="F10" s="58" t="s">
        <v>531</v>
      </c>
      <c r="G10" s="58" t="s">
        <v>532</v>
      </c>
      <c r="H10" s="7"/>
    </row>
    <row r="11" spans="1:9" ht="12.75">
      <c r="A11" s="52" t="s">
        <v>207</v>
      </c>
      <c r="B11" s="55"/>
      <c r="C11" s="119" t="s">
        <v>327</v>
      </c>
      <c r="D11" s="81"/>
      <c r="E11" s="60">
        <f>'Stavební rozpočet'!L12</f>
        <v>0</v>
      </c>
      <c r="F11" s="60">
        <f>'Stavební rozpočet'!M12</f>
        <v>0</v>
      </c>
      <c r="G11" s="60">
        <f>'Stavební rozpočet'!N12</f>
        <v>0</v>
      </c>
      <c r="H11" s="36" t="s">
        <v>533</v>
      </c>
      <c r="I11" s="36">
        <f aca="true" t="shared" si="0" ref="I11:I44">IF(H11="F",0,G11)</f>
        <v>0</v>
      </c>
    </row>
    <row r="12" spans="1:9" ht="12.75">
      <c r="A12" s="53" t="s">
        <v>207</v>
      </c>
      <c r="B12" s="21" t="s">
        <v>210</v>
      </c>
      <c r="C12" s="104" t="s">
        <v>328</v>
      </c>
      <c r="D12" s="81"/>
      <c r="E12" s="36">
        <f>'Stavební rozpočet'!L13</f>
        <v>0</v>
      </c>
      <c r="F12" s="36">
        <f>'Stavební rozpočet'!M13</f>
        <v>0</v>
      </c>
      <c r="G12" s="36">
        <f>'Stavební rozpočet'!N13</f>
        <v>0</v>
      </c>
      <c r="H12" s="36" t="s">
        <v>534</v>
      </c>
      <c r="I12" s="36">
        <f t="shared" si="0"/>
        <v>0</v>
      </c>
    </row>
    <row r="13" spans="1:9" ht="12.75">
      <c r="A13" s="53" t="s">
        <v>207</v>
      </c>
      <c r="B13" s="21" t="s">
        <v>218</v>
      </c>
      <c r="C13" s="104" t="s">
        <v>337</v>
      </c>
      <c r="D13" s="81"/>
      <c r="E13" s="36">
        <f>'Stavební rozpočet'!L22</f>
        <v>0</v>
      </c>
      <c r="F13" s="36">
        <f>'Stavební rozpočet'!M22</f>
        <v>0</v>
      </c>
      <c r="G13" s="36">
        <f>'Stavební rozpočet'!N22</f>
        <v>0</v>
      </c>
      <c r="H13" s="36" t="s">
        <v>534</v>
      </c>
      <c r="I13" s="36">
        <f t="shared" si="0"/>
        <v>0</v>
      </c>
    </row>
    <row r="14" spans="1:9" ht="12.75">
      <c r="A14" s="53" t="s">
        <v>207</v>
      </c>
      <c r="B14" s="21" t="s">
        <v>69</v>
      </c>
      <c r="C14" s="104" t="s">
        <v>346</v>
      </c>
      <c r="D14" s="81"/>
      <c r="E14" s="36">
        <f>'Stavební rozpočet'!L32</f>
        <v>0</v>
      </c>
      <c r="F14" s="36">
        <f>'Stavební rozpočet'!M32</f>
        <v>0</v>
      </c>
      <c r="G14" s="36">
        <f>'Stavební rozpočet'!N32</f>
        <v>0</v>
      </c>
      <c r="H14" s="36" t="s">
        <v>534</v>
      </c>
      <c r="I14" s="36">
        <f t="shared" si="0"/>
        <v>0</v>
      </c>
    </row>
    <row r="15" spans="1:9" ht="12.75">
      <c r="A15" s="53" t="s">
        <v>207</v>
      </c>
      <c r="B15" s="21" t="s">
        <v>12</v>
      </c>
      <c r="C15" s="104" t="s">
        <v>350</v>
      </c>
      <c r="D15" s="81"/>
      <c r="E15" s="36">
        <f>'Stavební rozpočet'!L36</f>
        <v>0</v>
      </c>
      <c r="F15" s="36">
        <f>'Stavební rozpočet'!M36</f>
        <v>0</v>
      </c>
      <c r="G15" s="36">
        <f>'Stavební rozpočet'!N36</f>
        <v>0</v>
      </c>
      <c r="H15" s="36" t="s">
        <v>534</v>
      </c>
      <c r="I15" s="36">
        <f t="shared" si="0"/>
        <v>0</v>
      </c>
    </row>
    <row r="16" spans="1:9" ht="12.75">
      <c r="A16" s="53" t="s">
        <v>207</v>
      </c>
      <c r="B16" s="21" t="s">
        <v>232</v>
      </c>
      <c r="C16" s="104" t="s">
        <v>355</v>
      </c>
      <c r="D16" s="81"/>
      <c r="E16" s="36">
        <f>'Stavební rozpočet'!L41</f>
        <v>0</v>
      </c>
      <c r="F16" s="36">
        <f>'Stavební rozpočet'!M41</f>
        <v>0</v>
      </c>
      <c r="G16" s="36">
        <f>'Stavební rozpočet'!N41</f>
        <v>0</v>
      </c>
      <c r="H16" s="36" t="s">
        <v>534</v>
      </c>
      <c r="I16" s="36">
        <f t="shared" si="0"/>
        <v>0</v>
      </c>
    </row>
    <row r="17" spans="1:9" ht="12.75">
      <c r="A17" s="53" t="s">
        <v>207</v>
      </c>
      <c r="B17" s="21" t="s">
        <v>244</v>
      </c>
      <c r="C17" s="104" t="s">
        <v>367</v>
      </c>
      <c r="D17" s="81"/>
      <c r="E17" s="36">
        <f>'Stavební rozpočet'!L53</f>
        <v>0</v>
      </c>
      <c r="F17" s="36">
        <f>'Stavební rozpočet'!M53</f>
        <v>0</v>
      </c>
      <c r="G17" s="36">
        <f>'Stavební rozpočet'!N53</f>
        <v>0</v>
      </c>
      <c r="H17" s="36" t="s">
        <v>534</v>
      </c>
      <c r="I17" s="36">
        <f t="shared" si="0"/>
        <v>0</v>
      </c>
    </row>
    <row r="18" spans="1:9" ht="12.75">
      <c r="A18" s="53" t="s">
        <v>207</v>
      </c>
      <c r="B18" s="21" t="s">
        <v>272</v>
      </c>
      <c r="C18" s="104" t="s">
        <v>395</v>
      </c>
      <c r="D18" s="81"/>
      <c r="E18" s="36">
        <f>'Stavební rozpočet'!L81</f>
        <v>0</v>
      </c>
      <c r="F18" s="36">
        <f>'Stavební rozpočet'!M81</f>
        <v>0</v>
      </c>
      <c r="G18" s="36">
        <f>'Stavební rozpočet'!N81</f>
        <v>0</v>
      </c>
      <c r="H18" s="36" t="s">
        <v>534</v>
      </c>
      <c r="I18" s="36">
        <f t="shared" si="0"/>
        <v>0</v>
      </c>
    </row>
    <row r="19" spans="1:9" ht="12.75">
      <c r="A19" s="53" t="s">
        <v>207</v>
      </c>
      <c r="B19" s="21" t="s">
        <v>278</v>
      </c>
      <c r="C19" s="104" t="s">
        <v>401</v>
      </c>
      <c r="D19" s="81"/>
      <c r="E19" s="36">
        <f>'Stavební rozpočet'!L88</f>
        <v>0</v>
      </c>
      <c r="F19" s="36">
        <f>'Stavební rozpočet'!M88</f>
        <v>0</v>
      </c>
      <c r="G19" s="36">
        <f>'Stavební rozpočet'!N88</f>
        <v>0</v>
      </c>
      <c r="H19" s="36" t="s">
        <v>534</v>
      </c>
      <c r="I19" s="36">
        <f t="shared" si="0"/>
        <v>0</v>
      </c>
    </row>
    <row r="20" spans="1:9" ht="12.75">
      <c r="A20" s="53" t="s">
        <v>207</v>
      </c>
      <c r="B20" s="21" t="s">
        <v>27</v>
      </c>
      <c r="C20" s="104" t="s">
        <v>408</v>
      </c>
      <c r="D20" s="81"/>
      <c r="E20" s="36">
        <f>'Stavební rozpočet'!L96</f>
        <v>0</v>
      </c>
      <c r="F20" s="36">
        <f>'Stavební rozpočet'!M96</f>
        <v>0</v>
      </c>
      <c r="G20" s="36">
        <f>'Stavební rozpočet'!N96</f>
        <v>0</v>
      </c>
      <c r="H20" s="36" t="s">
        <v>534</v>
      </c>
      <c r="I20" s="36">
        <f t="shared" si="0"/>
        <v>0</v>
      </c>
    </row>
    <row r="21" spans="1:9" ht="12.75">
      <c r="A21" s="53" t="s">
        <v>207</v>
      </c>
      <c r="B21" s="21" t="s">
        <v>294</v>
      </c>
      <c r="C21" s="104" t="s">
        <v>419</v>
      </c>
      <c r="D21" s="81"/>
      <c r="E21" s="36">
        <f>'Stavební rozpočet'!L109</f>
        <v>0</v>
      </c>
      <c r="F21" s="36">
        <f>'Stavební rozpočet'!M109</f>
        <v>0</v>
      </c>
      <c r="G21" s="36">
        <f>'Stavební rozpočet'!N109</f>
        <v>0</v>
      </c>
      <c r="H21" s="36" t="s">
        <v>534</v>
      </c>
      <c r="I21" s="36">
        <f t="shared" si="0"/>
        <v>0</v>
      </c>
    </row>
    <row r="22" spans="1:9" ht="12.75">
      <c r="A22" s="53" t="s">
        <v>207</v>
      </c>
      <c r="B22" s="21" t="s">
        <v>303</v>
      </c>
      <c r="C22" s="104" t="s">
        <v>428</v>
      </c>
      <c r="D22" s="81"/>
      <c r="E22" s="36">
        <f>'Stavební rozpočet'!L118</f>
        <v>0</v>
      </c>
      <c r="F22" s="36">
        <f>'Stavební rozpočet'!M118</f>
        <v>0</v>
      </c>
      <c r="G22" s="36">
        <f>'Stavební rozpočet'!N118</f>
        <v>0</v>
      </c>
      <c r="H22" s="36" t="s">
        <v>534</v>
      </c>
      <c r="I22" s="36">
        <f t="shared" si="0"/>
        <v>0</v>
      </c>
    </row>
    <row r="23" spans="1:9" ht="12.75">
      <c r="A23" s="53" t="s">
        <v>207</v>
      </c>
      <c r="B23" s="21" t="s">
        <v>305</v>
      </c>
      <c r="C23" s="104" t="s">
        <v>430</v>
      </c>
      <c r="D23" s="81"/>
      <c r="E23" s="36">
        <f>'Stavební rozpočet'!L120</f>
        <v>0</v>
      </c>
      <c r="F23" s="36">
        <f>'Stavební rozpočet'!M120</f>
        <v>0</v>
      </c>
      <c r="G23" s="36">
        <f>'Stavební rozpočet'!N120</f>
        <v>0</v>
      </c>
      <c r="H23" s="36" t="s">
        <v>534</v>
      </c>
      <c r="I23" s="36">
        <f t="shared" si="0"/>
        <v>0</v>
      </c>
    </row>
    <row r="24" spans="1:9" ht="12.75">
      <c r="A24" s="53" t="s">
        <v>207</v>
      </c>
      <c r="B24" s="21" t="s">
        <v>100</v>
      </c>
      <c r="C24" s="104" t="s">
        <v>434</v>
      </c>
      <c r="D24" s="81"/>
      <c r="E24" s="36">
        <f>'Stavební rozpočet'!L124</f>
        <v>0</v>
      </c>
      <c r="F24" s="36">
        <f>'Stavební rozpočet'!M124</f>
        <v>0</v>
      </c>
      <c r="G24" s="36">
        <f>'Stavební rozpočet'!N124</f>
        <v>0</v>
      </c>
      <c r="H24" s="36" t="s">
        <v>534</v>
      </c>
      <c r="I24" s="36">
        <f t="shared" si="0"/>
        <v>0</v>
      </c>
    </row>
    <row r="25" spans="1:9" ht="12.75">
      <c r="A25" s="53" t="s">
        <v>207</v>
      </c>
      <c r="B25" s="21" t="s">
        <v>101</v>
      </c>
      <c r="C25" s="104" t="s">
        <v>436</v>
      </c>
      <c r="D25" s="81"/>
      <c r="E25" s="36">
        <f>'Stavební rozpočet'!L126</f>
        <v>0</v>
      </c>
      <c r="F25" s="36">
        <f>'Stavební rozpočet'!M126</f>
        <v>0</v>
      </c>
      <c r="G25" s="36">
        <f>'Stavební rozpočet'!N126</f>
        <v>0</v>
      </c>
      <c r="H25" s="36" t="s">
        <v>534</v>
      </c>
      <c r="I25" s="36">
        <f t="shared" si="0"/>
        <v>0</v>
      </c>
    </row>
    <row r="26" spans="1:9" ht="12.75">
      <c r="A26" s="53" t="s">
        <v>207</v>
      </c>
      <c r="B26" s="21" t="s">
        <v>311</v>
      </c>
      <c r="C26" s="104" t="s">
        <v>438</v>
      </c>
      <c r="D26" s="81"/>
      <c r="E26" s="36">
        <f>'Stavební rozpočet'!L128</f>
        <v>0</v>
      </c>
      <c r="F26" s="36">
        <f>'Stavební rozpočet'!M128</f>
        <v>0</v>
      </c>
      <c r="G26" s="36">
        <f>'Stavební rozpočet'!N128</f>
        <v>0</v>
      </c>
      <c r="H26" s="36" t="s">
        <v>534</v>
      </c>
      <c r="I26" s="36">
        <f t="shared" si="0"/>
        <v>0</v>
      </c>
    </row>
    <row r="27" spans="1:9" ht="12.75">
      <c r="A27" s="53" t="s">
        <v>207</v>
      </c>
      <c r="B27" s="21" t="s">
        <v>320</v>
      </c>
      <c r="C27" s="104" t="s">
        <v>447</v>
      </c>
      <c r="D27" s="81"/>
      <c r="E27" s="36">
        <f>'Stavební rozpočet'!L137</f>
        <v>0</v>
      </c>
      <c r="F27" s="36">
        <f>'Stavební rozpočet'!M137</f>
        <v>0</v>
      </c>
      <c r="G27" s="36">
        <f>'Stavební rozpočet'!N137</f>
        <v>0</v>
      </c>
      <c r="H27" s="36" t="s">
        <v>534</v>
      </c>
      <c r="I27" s="36">
        <f t="shared" si="0"/>
        <v>0</v>
      </c>
    </row>
    <row r="28" spans="1:9" ht="12.75">
      <c r="A28" s="53" t="s">
        <v>208</v>
      </c>
      <c r="B28" s="21"/>
      <c r="C28" s="104" t="s">
        <v>449</v>
      </c>
      <c r="D28" s="81"/>
      <c r="E28" s="36">
        <f>'Stavební rozpočet'!L139</f>
        <v>0</v>
      </c>
      <c r="F28" s="36">
        <f>'Stavební rozpočet'!M139</f>
        <v>0</v>
      </c>
      <c r="G28" s="36">
        <f>'Stavební rozpočet'!N139</f>
        <v>0</v>
      </c>
      <c r="H28" s="36" t="s">
        <v>533</v>
      </c>
      <c r="I28" s="36">
        <f t="shared" si="0"/>
        <v>0</v>
      </c>
    </row>
    <row r="29" spans="1:9" ht="12.75">
      <c r="A29" s="53" t="s">
        <v>208</v>
      </c>
      <c r="B29" s="21" t="s">
        <v>210</v>
      </c>
      <c r="C29" s="104" t="s">
        <v>328</v>
      </c>
      <c r="D29" s="81"/>
      <c r="E29" s="36">
        <f>'Stavební rozpočet'!L140</f>
        <v>0</v>
      </c>
      <c r="F29" s="36">
        <f>'Stavební rozpočet'!M140</f>
        <v>0</v>
      </c>
      <c r="G29" s="36">
        <f>'Stavební rozpočet'!N140</f>
        <v>0</v>
      </c>
      <c r="H29" s="36" t="s">
        <v>534</v>
      </c>
      <c r="I29" s="36">
        <f t="shared" si="0"/>
        <v>0</v>
      </c>
    </row>
    <row r="30" spans="1:9" ht="12.75">
      <c r="A30" s="53" t="s">
        <v>208</v>
      </c>
      <c r="B30" s="21" t="s">
        <v>218</v>
      </c>
      <c r="C30" s="104" t="s">
        <v>337</v>
      </c>
      <c r="D30" s="81"/>
      <c r="E30" s="36">
        <f>'Stavební rozpočet'!L149</f>
        <v>0</v>
      </c>
      <c r="F30" s="36">
        <f>'Stavební rozpočet'!M149</f>
        <v>0</v>
      </c>
      <c r="G30" s="36">
        <f>'Stavební rozpočet'!N149</f>
        <v>0</v>
      </c>
      <c r="H30" s="36" t="s">
        <v>534</v>
      </c>
      <c r="I30" s="36">
        <f t="shared" si="0"/>
        <v>0</v>
      </c>
    </row>
    <row r="31" spans="1:9" ht="12.75">
      <c r="A31" s="53" t="s">
        <v>208</v>
      </c>
      <c r="B31" s="21" t="s">
        <v>69</v>
      </c>
      <c r="C31" s="104" t="s">
        <v>346</v>
      </c>
      <c r="D31" s="81"/>
      <c r="E31" s="36">
        <f>'Stavební rozpočet'!L159</f>
        <v>0</v>
      </c>
      <c r="F31" s="36">
        <f>'Stavební rozpočet'!M159</f>
        <v>0</v>
      </c>
      <c r="G31" s="36">
        <f>'Stavební rozpočet'!N159</f>
        <v>0</v>
      </c>
      <c r="H31" s="36" t="s">
        <v>534</v>
      </c>
      <c r="I31" s="36">
        <f t="shared" si="0"/>
        <v>0</v>
      </c>
    </row>
    <row r="32" spans="1:9" ht="12.75">
      <c r="A32" s="53" t="s">
        <v>208</v>
      </c>
      <c r="B32" s="21" t="s">
        <v>12</v>
      </c>
      <c r="C32" s="104" t="s">
        <v>350</v>
      </c>
      <c r="D32" s="81"/>
      <c r="E32" s="36">
        <f>'Stavební rozpočet'!L163</f>
        <v>0</v>
      </c>
      <c r="F32" s="36">
        <f>'Stavební rozpočet'!M163</f>
        <v>0</v>
      </c>
      <c r="G32" s="36">
        <f>'Stavební rozpočet'!N163</f>
        <v>0</v>
      </c>
      <c r="H32" s="36" t="s">
        <v>534</v>
      </c>
      <c r="I32" s="36">
        <f t="shared" si="0"/>
        <v>0</v>
      </c>
    </row>
    <row r="33" spans="1:9" ht="12.75">
      <c r="A33" s="53" t="s">
        <v>208</v>
      </c>
      <c r="B33" s="21" t="s">
        <v>232</v>
      </c>
      <c r="C33" s="104" t="s">
        <v>355</v>
      </c>
      <c r="D33" s="81"/>
      <c r="E33" s="36">
        <f>'Stavební rozpočet'!L168</f>
        <v>0</v>
      </c>
      <c r="F33" s="36">
        <f>'Stavební rozpočet'!M168</f>
        <v>0</v>
      </c>
      <c r="G33" s="36">
        <f>'Stavební rozpočet'!N168</f>
        <v>0</v>
      </c>
      <c r="H33" s="36" t="s">
        <v>534</v>
      </c>
      <c r="I33" s="36">
        <f t="shared" si="0"/>
        <v>0</v>
      </c>
    </row>
    <row r="34" spans="1:9" ht="12.75">
      <c r="A34" s="53" t="s">
        <v>208</v>
      </c>
      <c r="B34" s="21" t="s">
        <v>244</v>
      </c>
      <c r="C34" s="104" t="s">
        <v>367</v>
      </c>
      <c r="D34" s="81"/>
      <c r="E34" s="36">
        <f>'Stavební rozpočet'!L179</f>
        <v>0</v>
      </c>
      <c r="F34" s="36">
        <f>'Stavební rozpočet'!M179</f>
        <v>0</v>
      </c>
      <c r="G34" s="36">
        <f>'Stavební rozpočet'!N179</f>
        <v>0</v>
      </c>
      <c r="H34" s="36" t="s">
        <v>534</v>
      </c>
      <c r="I34" s="36">
        <f t="shared" si="0"/>
        <v>0</v>
      </c>
    </row>
    <row r="35" spans="1:9" ht="12.75">
      <c r="A35" s="53" t="s">
        <v>208</v>
      </c>
      <c r="B35" s="21" t="s">
        <v>272</v>
      </c>
      <c r="C35" s="104" t="s">
        <v>395</v>
      </c>
      <c r="D35" s="81"/>
      <c r="E35" s="36">
        <f>'Stavební rozpočet'!L199</f>
        <v>0</v>
      </c>
      <c r="F35" s="36">
        <f>'Stavební rozpočet'!M199</f>
        <v>0</v>
      </c>
      <c r="G35" s="36">
        <f>'Stavební rozpočet'!N199</f>
        <v>0</v>
      </c>
      <c r="H35" s="36" t="s">
        <v>534</v>
      </c>
      <c r="I35" s="36">
        <f t="shared" si="0"/>
        <v>0</v>
      </c>
    </row>
    <row r="36" spans="1:9" ht="12.75">
      <c r="A36" s="53" t="s">
        <v>208</v>
      </c>
      <c r="B36" s="21" t="s">
        <v>278</v>
      </c>
      <c r="C36" s="104" t="s">
        <v>401</v>
      </c>
      <c r="D36" s="81"/>
      <c r="E36" s="36">
        <f>'Stavební rozpočet'!L206</f>
        <v>0</v>
      </c>
      <c r="F36" s="36">
        <f>'Stavební rozpočet'!M206</f>
        <v>0</v>
      </c>
      <c r="G36" s="36">
        <f>'Stavební rozpočet'!N206</f>
        <v>0</v>
      </c>
      <c r="H36" s="36" t="s">
        <v>534</v>
      </c>
      <c r="I36" s="36">
        <f t="shared" si="0"/>
        <v>0</v>
      </c>
    </row>
    <row r="37" spans="1:9" ht="12.75">
      <c r="A37" s="53" t="s">
        <v>208</v>
      </c>
      <c r="B37" s="21" t="s">
        <v>27</v>
      </c>
      <c r="C37" s="104" t="s">
        <v>408</v>
      </c>
      <c r="D37" s="81"/>
      <c r="E37" s="36">
        <f>'Stavební rozpočet'!L214</f>
        <v>0</v>
      </c>
      <c r="F37" s="36">
        <f>'Stavební rozpočet'!M214</f>
        <v>0</v>
      </c>
      <c r="G37" s="36">
        <f>'Stavební rozpočet'!N214</f>
        <v>0</v>
      </c>
      <c r="H37" s="36" t="s">
        <v>534</v>
      </c>
      <c r="I37" s="36">
        <f t="shared" si="0"/>
        <v>0</v>
      </c>
    </row>
    <row r="38" spans="1:9" ht="12.75">
      <c r="A38" s="53" t="s">
        <v>208</v>
      </c>
      <c r="B38" s="21" t="s">
        <v>294</v>
      </c>
      <c r="C38" s="104" t="s">
        <v>419</v>
      </c>
      <c r="D38" s="81"/>
      <c r="E38" s="36">
        <f>'Stavební rozpočet'!L225</f>
        <v>0</v>
      </c>
      <c r="F38" s="36">
        <f>'Stavební rozpočet'!M225</f>
        <v>0</v>
      </c>
      <c r="G38" s="36">
        <f>'Stavební rozpočet'!N225</f>
        <v>0</v>
      </c>
      <c r="H38" s="36" t="s">
        <v>534</v>
      </c>
      <c r="I38" s="36">
        <f t="shared" si="0"/>
        <v>0</v>
      </c>
    </row>
    <row r="39" spans="1:9" ht="12.75">
      <c r="A39" s="53" t="s">
        <v>208</v>
      </c>
      <c r="B39" s="21" t="s">
        <v>303</v>
      </c>
      <c r="C39" s="104" t="s">
        <v>428</v>
      </c>
      <c r="D39" s="81"/>
      <c r="E39" s="36">
        <f>'Stavební rozpočet'!L234</f>
        <v>0</v>
      </c>
      <c r="F39" s="36">
        <f>'Stavební rozpočet'!M234</f>
        <v>0</v>
      </c>
      <c r="G39" s="36">
        <f>'Stavební rozpočet'!N234</f>
        <v>0</v>
      </c>
      <c r="H39" s="36" t="s">
        <v>534</v>
      </c>
      <c r="I39" s="36">
        <f t="shared" si="0"/>
        <v>0</v>
      </c>
    </row>
    <row r="40" spans="1:9" ht="12.75">
      <c r="A40" s="53" t="s">
        <v>208</v>
      </c>
      <c r="B40" s="21" t="s">
        <v>305</v>
      </c>
      <c r="C40" s="104" t="s">
        <v>430</v>
      </c>
      <c r="D40" s="81"/>
      <c r="E40" s="36">
        <f>'Stavební rozpočet'!L236</f>
        <v>0</v>
      </c>
      <c r="F40" s="36">
        <f>'Stavební rozpočet'!M236</f>
        <v>0</v>
      </c>
      <c r="G40" s="36">
        <f>'Stavební rozpočet'!N236</f>
        <v>0</v>
      </c>
      <c r="H40" s="36" t="s">
        <v>534</v>
      </c>
      <c r="I40" s="36">
        <f t="shared" si="0"/>
        <v>0</v>
      </c>
    </row>
    <row r="41" spans="1:9" ht="12.75">
      <c r="A41" s="53" t="s">
        <v>208</v>
      </c>
      <c r="B41" s="21" t="s">
        <v>100</v>
      </c>
      <c r="C41" s="104" t="s">
        <v>434</v>
      </c>
      <c r="D41" s="81"/>
      <c r="E41" s="36">
        <f>'Stavební rozpočet'!L240</f>
        <v>0</v>
      </c>
      <c r="F41" s="36">
        <f>'Stavební rozpočet'!M240</f>
        <v>0</v>
      </c>
      <c r="G41" s="36">
        <f>'Stavební rozpočet'!N240</f>
        <v>0</v>
      </c>
      <c r="H41" s="36" t="s">
        <v>534</v>
      </c>
      <c r="I41" s="36">
        <f t="shared" si="0"/>
        <v>0</v>
      </c>
    </row>
    <row r="42" spans="1:9" ht="12.75">
      <c r="A42" s="53" t="s">
        <v>208</v>
      </c>
      <c r="B42" s="21" t="s">
        <v>101</v>
      </c>
      <c r="C42" s="104" t="s">
        <v>436</v>
      </c>
      <c r="D42" s="81"/>
      <c r="E42" s="36">
        <f>'Stavební rozpočet'!L242</f>
        <v>0</v>
      </c>
      <c r="F42" s="36">
        <f>'Stavební rozpočet'!M242</f>
        <v>0</v>
      </c>
      <c r="G42" s="36">
        <f>'Stavební rozpočet'!N242</f>
        <v>0</v>
      </c>
      <c r="H42" s="36" t="s">
        <v>534</v>
      </c>
      <c r="I42" s="36">
        <f t="shared" si="0"/>
        <v>0</v>
      </c>
    </row>
    <row r="43" spans="1:9" ht="12.75">
      <c r="A43" s="53" t="s">
        <v>208</v>
      </c>
      <c r="B43" s="21" t="s">
        <v>311</v>
      </c>
      <c r="C43" s="104" t="s">
        <v>438</v>
      </c>
      <c r="D43" s="81"/>
      <c r="E43" s="36">
        <f>'Stavební rozpočet'!L244</f>
        <v>0</v>
      </c>
      <c r="F43" s="36">
        <f>'Stavební rozpočet'!M244</f>
        <v>0</v>
      </c>
      <c r="G43" s="36">
        <f>'Stavební rozpočet'!N244</f>
        <v>0</v>
      </c>
      <c r="H43" s="36" t="s">
        <v>534</v>
      </c>
      <c r="I43" s="36">
        <f t="shared" si="0"/>
        <v>0</v>
      </c>
    </row>
    <row r="44" spans="1:9" ht="12.75">
      <c r="A44" s="53" t="s">
        <v>208</v>
      </c>
      <c r="B44" s="21" t="s">
        <v>320</v>
      </c>
      <c r="C44" s="104" t="s">
        <v>447</v>
      </c>
      <c r="D44" s="81"/>
      <c r="E44" s="36">
        <f>'Stavební rozpočet'!L253</f>
        <v>0</v>
      </c>
      <c r="F44" s="36">
        <f>'Stavební rozpočet'!M253</f>
        <v>0</v>
      </c>
      <c r="G44" s="36">
        <f>'Stavební rozpočet'!N253</f>
        <v>0</v>
      </c>
      <c r="H44" s="36" t="s">
        <v>534</v>
      </c>
      <c r="I44" s="36">
        <f t="shared" si="0"/>
        <v>0</v>
      </c>
    </row>
    <row r="45" spans="6:7" ht="12.75">
      <c r="F45" s="59" t="s">
        <v>476</v>
      </c>
      <c r="G45" s="61">
        <f>SUM(I11:I44)</f>
        <v>0</v>
      </c>
    </row>
  </sheetData>
  <sheetProtection/>
  <mergeCells count="59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40:D40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N1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55.28125" style="0" customWidth="1"/>
    <col min="6" max="8" width="11.57421875" style="0" customWidth="1"/>
    <col min="9" max="9" width="6.421875" style="0" customWidth="1"/>
    <col min="10" max="10" width="12.8515625" style="0" customWidth="1"/>
    <col min="11" max="11" width="12.00390625" style="0" customWidth="1"/>
    <col min="12" max="14" width="14.2812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23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5" ht="12.75">
      <c r="A2" s="112" t="s">
        <v>1</v>
      </c>
      <c r="B2" s="113"/>
      <c r="C2" s="113"/>
      <c r="D2" s="114" t="s">
        <v>322</v>
      </c>
      <c r="E2" s="115"/>
      <c r="F2" s="124" t="s">
        <v>450</v>
      </c>
      <c r="G2" s="113"/>
      <c r="H2" s="124" t="s">
        <v>6</v>
      </c>
      <c r="I2" s="117" t="s">
        <v>455</v>
      </c>
      <c r="J2" s="113"/>
      <c r="K2" s="117" t="s">
        <v>468</v>
      </c>
      <c r="L2" s="113"/>
      <c r="M2" s="113"/>
      <c r="N2" s="151"/>
      <c r="O2" s="7"/>
    </row>
    <row r="3" spans="1:15" ht="12.75">
      <c r="A3" s="107"/>
      <c r="B3" s="81"/>
      <c r="C3" s="81"/>
      <c r="D3" s="116"/>
      <c r="E3" s="116"/>
      <c r="F3" s="81"/>
      <c r="G3" s="81"/>
      <c r="H3" s="81"/>
      <c r="I3" s="81"/>
      <c r="J3" s="81"/>
      <c r="K3" s="81"/>
      <c r="L3" s="81"/>
      <c r="M3" s="81"/>
      <c r="N3" s="109"/>
      <c r="O3" s="7"/>
    </row>
    <row r="4" spans="1:15" ht="12.75">
      <c r="A4" s="101" t="s">
        <v>2</v>
      </c>
      <c r="B4" s="81"/>
      <c r="C4" s="81"/>
      <c r="D4" s="80" t="s">
        <v>323</v>
      </c>
      <c r="E4" s="81"/>
      <c r="F4" s="104" t="s">
        <v>451</v>
      </c>
      <c r="G4" s="81"/>
      <c r="H4" s="104" t="s">
        <v>6</v>
      </c>
      <c r="I4" s="80" t="s">
        <v>456</v>
      </c>
      <c r="J4" s="81"/>
      <c r="K4" s="80" t="s">
        <v>469</v>
      </c>
      <c r="L4" s="81"/>
      <c r="M4" s="81"/>
      <c r="N4" s="109"/>
      <c r="O4" s="7"/>
    </row>
    <row r="5" spans="1:15" ht="12.75">
      <c r="A5" s="107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09"/>
      <c r="O5" s="7"/>
    </row>
    <row r="6" spans="1:15" ht="12.75">
      <c r="A6" s="101" t="s">
        <v>3</v>
      </c>
      <c r="B6" s="81"/>
      <c r="C6" s="81"/>
      <c r="D6" s="80" t="s">
        <v>324</v>
      </c>
      <c r="E6" s="81"/>
      <c r="F6" s="104" t="s">
        <v>452</v>
      </c>
      <c r="G6" s="81"/>
      <c r="H6" s="104" t="s">
        <v>6</v>
      </c>
      <c r="I6" s="80" t="s">
        <v>457</v>
      </c>
      <c r="J6" s="81"/>
      <c r="K6" s="104" t="s">
        <v>470</v>
      </c>
      <c r="L6" s="81"/>
      <c r="M6" s="81"/>
      <c r="N6" s="109"/>
      <c r="O6" s="7"/>
    </row>
    <row r="7" spans="1:15" ht="12.75">
      <c r="A7" s="107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09"/>
      <c r="O7" s="7"/>
    </row>
    <row r="8" spans="1:15" ht="12.75">
      <c r="A8" s="101" t="s">
        <v>4</v>
      </c>
      <c r="B8" s="81"/>
      <c r="C8" s="81"/>
      <c r="D8" s="80" t="s">
        <v>6</v>
      </c>
      <c r="E8" s="81"/>
      <c r="F8" s="104" t="s">
        <v>453</v>
      </c>
      <c r="G8" s="81"/>
      <c r="H8" s="104" t="s">
        <v>454</v>
      </c>
      <c r="I8" s="80" t="s">
        <v>458</v>
      </c>
      <c r="J8" s="81"/>
      <c r="K8" s="80" t="s">
        <v>471</v>
      </c>
      <c r="L8" s="81"/>
      <c r="M8" s="81"/>
      <c r="N8" s="109"/>
      <c r="O8" s="7"/>
    </row>
    <row r="9" spans="1:15" ht="12.7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7"/>
    </row>
    <row r="10" spans="1:64" ht="12.75">
      <c r="A10" s="1" t="s">
        <v>5</v>
      </c>
      <c r="B10" s="12" t="s">
        <v>206</v>
      </c>
      <c r="C10" s="12" t="s">
        <v>209</v>
      </c>
      <c r="D10" s="140" t="s">
        <v>325</v>
      </c>
      <c r="E10" s="141"/>
      <c r="F10" s="141"/>
      <c r="G10" s="141"/>
      <c r="H10" s="142"/>
      <c r="I10" s="12" t="s">
        <v>459</v>
      </c>
      <c r="J10" s="25" t="s">
        <v>467</v>
      </c>
      <c r="K10" s="29" t="s">
        <v>472</v>
      </c>
      <c r="L10" s="143" t="s">
        <v>474</v>
      </c>
      <c r="M10" s="144"/>
      <c r="N10" s="145"/>
      <c r="O10" s="34"/>
      <c r="BK10" s="35" t="s">
        <v>525</v>
      </c>
      <c r="BL10" s="40" t="s">
        <v>528</v>
      </c>
    </row>
    <row r="11" spans="1:62" ht="12.75">
      <c r="A11" s="2" t="s">
        <v>6</v>
      </c>
      <c r="B11" s="13" t="s">
        <v>6</v>
      </c>
      <c r="C11" s="13" t="s">
        <v>6</v>
      </c>
      <c r="D11" s="146" t="s">
        <v>326</v>
      </c>
      <c r="E11" s="147"/>
      <c r="F11" s="147"/>
      <c r="G11" s="147"/>
      <c r="H11" s="148"/>
      <c r="I11" s="13" t="s">
        <v>6</v>
      </c>
      <c r="J11" s="13" t="s">
        <v>6</v>
      </c>
      <c r="K11" s="30" t="s">
        <v>473</v>
      </c>
      <c r="L11" s="31" t="s">
        <v>475</v>
      </c>
      <c r="M11" s="32" t="s">
        <v>477</v>
      </c>
      <c r="N11" s="33" t="s">
        <v>478</v>
      </c>
      <c r="O11" s="34"/>
      <c r="Z11" s="35" t="s">
        <v>479</v>
      </c>
      <c r="AA11" s="35" t="s">
        <v>480</v>
      </c>
      <c r="AB11" s="35" t="s">
        <v>481</v>
      </c>
      <c r="AC11" s="35" t="s">
        <v>482</v>
      </c>
      <c r="AD11" s="35" t="s">
        <v>483</v>
      </c>
      <c r="AE11" s="35" t="s">
        <v>484</v>
      </c>
      <c r="AF11" s="35" t="s">
        <v>485</v>
      </c>
      <c r="AG11" s="35" t="s">
        <v>486</v>
      </c>
      <c r="AH11" s="35" t="s">
        <v>487</v>
      </c>
      <c r="BH11" s="35" t="s">
        <v>522</v>
      </c>
      <c r="BI11" s="35" t="s">
        <v>523</v>
      </c>
      <c r="BJ11" s="35" t="s">
        <v>524</v>
      </c>
    </row>
    <row r="12" spans="1:15" ht="12.75">
      <c r="A12" s="3"/>
      <c r="B12" s="14" t="s">
        <v>207</v>
      </c>
      <c r="C12" s="14"/>
      <c r="D12" s="149" t="s">
        <v>327</v>
      </c>
      <c r="E12" s="150"/>
      <c r="F12" s="150"/>
      <c r="G12" s="150"/>
      <c r="H12" s="150"/>
      <c r="I12" s="22" t="s">
        <v>6</v>
      </c>
      <c r="J12" s="22" t="s">
        <v>6</v>
      </c>
      <c r="K12" s="22" t="s">
        <v>6</v>
      </c>
      <c r="L12" s="41">
        <f>L13+L22+L32+L36+L41+L53+L81+L88+L96+L109+L118+L120+L124+L126+L128+L137</f>
        <v>0</v>
      </c>
      <c r="M12" s="41">
        <f>M13+M22+M32+M36+M41+M53+M81+M88+M96+M109+M118+M120+M124+M126+M128+M137</f>
        <v>0</v>
      </c>
      <c r="N12" s="44">
        <f>N13+N22+N32+N36+N41+N53+N81+N88+N96+N109+N118+N120+N124+N126+N128+N137</f>
        <v>0</v>
      </c>
      <c r="O12" s="7"/>
    </row>
    <row r="13" spans="1:47" ht="12.75">
      <c r="A13" s="4"/>
      <c r="B13" s="15" t="s">
        <v>207</v>
      </c>
      <c r="C13" s="15" t="s">
        <v>210</v>
      </c>
      <c r="D13" s="129" t="s">
        <v>328</v>
      </c>
      <c r="E13" s="130"/>
      <c r="F13" s="130"/>
      <c r="G13" s="130"/>
      <c r="H13" s="130"/>
      <c r="I13" s="23" t="s">
        <v>6</v>
      </c>
      <c r="J13" s="23" t="s">
        <v>6</v>
      </c>
      <c r="K13" s="23" t="s">
        <v>6</v>
      </c>
      <c r="L13" s="42">
        <f>SUM(L14:L21)</f>
        <v>0</v>
      </c>
      <c r="M13" s="42">
        <f>SUM(M14:M21)</f>
        <v>0</v>
      </c>
      <c r="N13" s="45">
        <f>SUM(N14:N21)</f>
        <v>0</v>
      </c>
      <c r="O13" s="7"/>
      <c r="AI13" s="35" t="s">
        <v>207</v>
      </c>
      <c r="AS13" s="42">
        <f>SUM(AJ14:AJ21)</f>
        <v>0</v>
      </c>
      <c r="AT13" s="42">
        <f>SUM(AK14:AK21)</f>
        <v>0</v>
      </c>
      <c r="AU13" s="42">
        <f>SUM(AL14:AL21)</f>
        <v>0</v>
      </c>
    </row>
    <row r="14" spans="1:64" ht="12.75">
      <c r="A14" s="5" t="s">
        <v>7</v>
      </c>
      <c r="B14" s="16" t="s">
        <v>207</v>
      </c>
      <c r="C14" s="16" t="s">
        <v>211</v>
      </c>
      <c r="D14" s="127" t="s">
        <v>329</v>
      </c>
      <c r="E14" s="128"/>
      <c r="F14" s="128"/>
      <c r="G14" s="128"/>
      <c r="H14" s="128"/>
      <c r="I14" s="16" t="s">
        <v>460</v>
      </c>
      <c r="J14" s="26">
        <v>82.325</v>
      </c>
      <c r="K14" s="26">
        <v>0</v>
      </c>
      <c r="L14" s="26">
        <f>J14*AO14</f>
        <v>0</v>
      </c>
      <c r="M14" s="26">
        <f>J14*AP14</f>
        <v>0</v>
      </c>
      <c r="N14" s="46">
        <f>J14*K14</f>
        <v>0</v>
      </c>
      <c r="O14" s="7"/>
      <c r="Z14" s="36">
        <f>IF(AQ14="5",BJ14,0)</f>
        <v>0</v>
      </c>
      <c r="AB14" s="36">
        <f>IF(AQ14="1",BH14,0)</f>
        <v>0</v>
      </c>
      <c r="AC14" s="36">
        <f>IF(AQ14="1",BI14,0)</f>
        <v>0</v>
      </c>
      <c r="AD14" s="36">
        <f>IF(AQ14="7",BH14,0)</f>
        <v>0</v>
      </c>
      <c r="AE14" s="36">
        <f>IF(AQ14="7",BI14,0)</f>
        <v>0</v>
      </c>
      <c r="AF14" s="36">
        <f>IF(AQ14="2",BH14,0)</f>
        <v>0</v>
      </c>
      <c r="AG14" s="36">
        <f>IF(AQ14="2",BI14,0)</f>
        <v>0</v>
      </c>
      <c r="AH14" s="36">
        <f>IF(AQ14="0",BJ14,0)</f>
        <v>0</v>
      </c>
      <c r="AI14" s="35" t="s">
        <v>207</v>
      </c>
      <c r="AJ14" s="26">
        <f>IF(AN14=0,N14,0)</f>
        <v>0</v>
      </c>
      <c r="AK14" s="26">
        <f>IF(AN14=15,N14,0)</f>
        <v>0</v>
      </c>
      <c r="AL14" s="26">
        <f>IF(AN14=21,N14,0)</f>
        <v>0</v>
      </c>
      <c r="AN14" s="36">
        <v>21</v>
      </c>
      <c r="AO14" s="36">
        <f>K14*0</f>
        <v>0</v>
      </c>
      <c r="AP14" s="36">
        <f>K14*(1-0)</f>
        <v>0</v>
      </c>
      <c r="AQ14" s="37" t="s">
        <v>13</v>
      </c>
      <c r="AV14" s="36">
        <f>AW14+AX14</f>
        <v>0</v>
      </c>
      <c r="AW14" s="36">
        <f>J14*AO14</f>
        <v>0</v>
      </c>
      <c r="AX14" s="36">
        <f>J14*AP14</f>
        <v>0</v>
      </c>
      <c r="AY14" s="39" t="s">
        <v>488</v>
      </c>
      <c r="AZ14" s="39" t="s">
        <v>504</v>
      </c>
      <c r="BA14" s="35" t="s">
        <v>520</v>
      </c>
      <c r="BC14" s="36">
        <f>AW14+AX14</f>
        <v>0</v>
      </c>
      <c r="BD14" s="36">
        <f>K14/(100-BE14)*100</f>
        <v>0</v>
      </c>
      <c r="BE14" s="36">
        <v>0</v>
      </c>
      <c r="BF14" s="36">
        <f>14</f>
        <v>14</v>
      </c>
      <c r="BH14" s="26">
        <f>J14*AO14</f>
        <v>0</v>
      </c>
      <c r="BI14" s="26">
        <f>J14*AP14</f>
        <v>0</v>
      </c>
      <c r="BJ14" s="26">
        <f>J14*K14</f>
        <v>0</v>
      </c>
      <c r="BK14" s="26" t="s">
        <v>526</v>
      </c>
      <c r="BL14" s="36">
        <v>781</v>
      </c>
    </row>
    <row r="15" spans="1:64" ht="12.75">
      <c r="A15" s="5" t="s">
        <v>8</v>
      </c>
      <c r="B15" s="16" t="s">
        <v>207</v>
      </c>
      <c r="C15" s="16" t="s">
        <v>212</v>
      </c>
      <c r="D15" s="127" t="s">
        <v>330</v>
      </c>
      <c r="E15" s="128"/>
      <c r="F15" s="128"/>
      <c r="G15" s="128"/>
      <c r="H15" s="128"/>
      <c r="I15" s="16" t="s">
        <v>460</v>
      </c>
      <c r="J15" s="26">
        <v>82.325</v>
      </c>
      <c r="K15" s="26">
        <v>0</v>
      </c>
      <c r="L15" s="26">
        <f>J15*AO15</f>
        <v>0</v>
      </c>
      <c r="M15" s="26">
        <f>J15*AP15</f>
        <v>0</v>
      </c>
      <c r="N15" s="46">
        <f>J15*K15</f>
        <v>0</v>
      </c>
      <c r="O15" s="7"/>
      <c r="Z15" s="36">
        <f>IF(AQ15="5",BJ15,0)</f>
        <v>0</v>
      </c>
      <c r="AB15" s="36">
        <f>IF(AQ15="1",BH15,0)</f>
        <v>0</v>
      </c>
      <c r="AC15" s="36">
        <f>IF(AQ15="1",BI15,0)</f>
        <v>0</v>
      </c>
      <c r="AD15" s="36">
        <f>IF(AQ15="7",BH15,0)</f>
        <v>0</v>
      </c>
      <c r="AE15" s="36">
        <f>IF(AQ15="7",BI15,0)</f>
        <v>0</v>
      </c>
      <c r="AF15" s="36">
        <f>IF(AQ15="2",BH15,0)</f>
        <v>0</v>
      </c>
      <c r="AG15" s="36">
        <f>IF(AQ15="2",BI15,0)</f>
        <v>0</v>
      </c>
      <c r="AH15" s="36">
        <f>IF(AQ15="0",BJ15,0)</f>
        <v>0</v>
      </c>
      <c r="AI15" s="35" t="s">
        <v>207</v>
      </c>
      <c r="AJ15" s="26">
        <f>IF(AN15=0,N15,0)</f>
        <v>0</v>
      </c>
      <c r="AK15" s="26">
        <f>IF(AN15=15,N15,0)</f>
        <v>0</v>
      </c>
      <c r="AL15" s="26">
        <f>IF(AN15=21,N15,0)</f>
        <v>0</v>
      </c>
      <c r="AN15" s="36">
        <v>21</v>
      </c>
      <c r="AO15" s="36">
        <f>K15*0.187249786559618</f>
        <v>0</v>
      </c>
      <c r="AP15" s="36">
        <f>K15*(1-0.187249786559618)</f>
        <v>0</v>
      </c>
      <c r="AQ15" s="37" t="s">
        <v>13</v>
      </c>
      <c r="AV15" s="36">
        <f>AW15+AX15</f>
        <v>0</v>
      </c>
      <c r="AW15" s="36">
        <f>J15*AO15</f>
        <v>0</v>
      </c>
      <c r="AX15" s="36">
        <f>J15*AP15</f>
        <v>0</v>
      </c>
      <c r="AY15" s="39" t="s">
        <v>488</v>
      </c>
      <c r="AZ15" s="39" t="s">
        <v>504</v>
      </c>
      <c r="BA15" s="35" t="s">
        <v>520</v>
      </c>
      <c r="BC15" s="36">
        <f>AW15+AX15</f>
        <v>0</v>
      </c>
      <c r="BD15" s="36">
        <f>K15/(100-BE15)*100</f>
        <v>0</v>
      </c>
      <c r="BE15" s="36">
        <v>0</v>
      </c>
      <c r="BF15" s="36">
        <f>15</f>
        <v>15</v>
      </c>
      <c r="BH15" s="26">
        <f>J15*AO15</f>
        <v>0</v>
      </c>
      <c r="BI15" s="26">
        <f>J15*AP15</f>
        <v>0</v>
      </c>
      <c r="BJ15" s="26">
        <f>J15*K15</f>
        <v>0</v>
      </c>
      <c r="BK15" s="26" t="s">
        <v>526</v>
      </c>
      <c r="BL15" s="36">
        <v>781</v>
      </c>
    </row>
    <row r="16" spans="1:64" ht="12.75">
      <c r="A16" s="6" t="s">
        <v>9</v>
      </c>
      <c r="B16" s="17" t="s">
        <v>207</v>
      </c>
      <c r="C16" s="17" t="s">
        <v>213</v>
      </c>
      <c r="D16" s="133" t="s">
        <v>331</v>
      </c>
      <c r="E16" s="134"/>
      <c r="F16" s="134"/>
      <c r="G16" s="134"/>
      <c r="H16" s="134"/>
      <c r="I16" s="17" t="s">
        <v>460</v>
      </c>
      <c r="J16" s="27">
        <v>90.5575</v>
      </c>
      <c r="K16" s="27">
        <v>0</v>
      </c>
      <c r="L16" s="27">
        <f>J16*AO16</f>
        <v>0</v>
      </c>
      <c r="M16" s="27">
        <f>J16*AP16</f>
        <v>0</v>
      </c>
      <c r="N16" s="47">
        <f>J16*K16</f>
        <v>0</v>
      </c>
      <c r="O16" s="7"/>
      <c r="Z16" s="36">
        <f>IF(AQ16="5",BJ16,0)</f>
        <v>0</v>
      </c>
      <c r="AB16" s="36">
        <f>IF(AQ16="1",BH16,0)</f>
        <v>0</v>
      </c>
      <c r="AC16" s="36">
        <f>IF(AQ16="1",BI16,0)</f>
        <v>0</v>
      </c>
      <c r="AD16" s="36">
        <f>IF(AQ16="7",BH16,0)</f>
        <v>0</v>
      </c>
      <c r="AE16" s="36">
        <f>IF(AQ16="7",BI16,0)</f>
        <v>0</v>
      </c>
      <c r="AF16" s="36">
        <f>IF(AQ16="2",BH16,0)</f>
        <v>0</v>
      </c>
      <c r="AG16" s="36">
        <f>IF(AQ16="2",BI16,0)</f>
        <v>0</v>
      </c>
      <c r="AH16" s="36">
        <f>IF(AQ16="0",BJ16,0)</f>
        <v>0</v>
      </c>
      <c r="AI16" s="35" t="s">
        <v>207</v>
      </c>
      <c r="AJ16" s="27">
        <f>IF(AN16=0,N16,0)</f>
        <v>0</v>
      </c>
      <c r="AK16" s="27">
        <f>IF(AN16=15,N16,0)</f>
        <v>0</v>
      </c>
      <c r="AL16" s="27">
        <f>IF(AN16=21,N16,0)</f>
        <v>0</v>
      </c>
      <c r="AN16" s="36">
        <v>21</v>
      </c>
      <c r="AO16" s="36">
        <f>K16*1</f>
        <v>0</v>
      </c>
      <c r="AP16" s="36">
        <f>K16*(1-1)</f>
        <v>0</v>
      </c>
      <c r="AQ16" s="38" t="s">
        <v>13</v>
      </c>
      <c r="AV16" s="36">
        <f>AW16+AX16</f>
        <v>0</v>
      </c>
      <c r="AW16" s="36">
        <f>J16*AO16</f>
        <v>0</v>
      </c>
      <c r="AX16" s="36">
        <f>J16*AP16</f>
        <v>0</v>
      </c>
      <c r="AY16" s="39" t="s">
        <v>488</v>
      </c>
      <c r="AZ16" s="39" t="s">
        <v>504</v>
      </c>
      <c r="BA16" s="35" t="s">
        <v>520</v>
      </c>
      <c r="BC16" s="36">
        <f>AW16+AX16</f>
        <v>0</v>
      </c>
      <c r="BD16" s="36">
        <f>K16/(100-BE16)*100</f>
        <v>0</v>
      </c>
      <c r="BE16" s="36">
        <v>0</v>
      </c>
      <c r="BF16" s="36">
        <f>16</f>
        <v>16</v>
      </c>
      <c r="BH16" s="27">
        <f>J16*AO16</f>
        <v>0</v>
      </c>
      <c r="BI16" s="27">
        <f>J16*AP16</f>
        <v>0</v>
      </c>
      <c r="BJ16" s="27">
        <f>J16*K16</f>
        <v>0</v>
      </c>
      <c r="BK16" s="27" t="s">
        <v>527</v>
      </c>
      <c r="BL16" s="36">
        <v>781</v>
      </c>
    </row>
    <row r="17" spans="1:15" ht="12.75">
      <c r="A17" s="7"/>
      <c r="C17" s="20" t="s">
        <v>205</v>
      </c>
      <c r="D17" s="135" t="s">
        <v>332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37"/>
      <c r="O17" s="7"/>
    </row>
    <row r="18" spans="1:64" ht="12.75">
      <c r="A18" s="5" t="s">
        <v>10</v>
      </c>
      <c r="B18" s="16" t="s">
        <v>207</v>
      </c>
      <c r="C18" s="16" t="s">
        <v>214</v>
      </c>
      <c r="D18" s="127" t="s">
        <v>333</v>
      </c>
      <c r="E18" s="128"/>
      <c r="F18" s="128"/>
      <c r="G18" s="128"/>
      <c r="H18" s="128"/>
      <c r="I18" s="16" t="s">
        <v>461</v>
      </c>
      <c r="J18" s="26">
        <v>29.35</v>
      </c>
      <c r="K18" s="26">
        <v>0</v>
      </c>
      <c r="L18" s="26">
        <f>J18*AO18</f>
        <v>0</v>
      </c>
      <c r="M18" s="26">
        <f>J18*AP18</f>
        <v>0</v>
      </c>
      <c r="N18" s="46">
        <f>J18*K18</f>
        <v>0</v>
      </c>
      <c r="O18" s="7"/>
      <c r="Z18" s="36">
        <f>IF(AQ18="5",BJ18,0)</f>
        <v>0</v>
      </c>
      <c r="AB18" s="36">
        <f>IF(AQ18="1",BH18,0)</f>
        <v>0</v>
      </c>
      <c r="AC18" s="36">
        <f>IF(AQ18="1",BI18,0)</f>
        <v>0</v>
      </c>
      <c r="AD18" s="36">
        <f>IF(AQ18="7",BH18,0)</f>
        <v>0</v>
      </c>
      <c r="AE18" s="36">
        <f>IF(AQ18="7",BI18,0)</f>
        <v>0</v>
      </c>
      <c r="AF18" s="36">
        <f>IF(AQ18="2",BH18,0)</f>
        <v>0</v>
      </c>
      <c r="AG18" s="36">
        <f>IF(AQ18="2",BI18,0)</f>
        <v>0</v>
      </c>
      <c r="AH18" s="36">
        <f>IF(AQ18="0",BJ18,0)</f>
        <v>0</v>
      </c>
      <c r="AI18" s="35" t="s">
        <v>207</v>
      </c>
      <c r="AJ18" s="26">
        <f>IF(AN18=0,N18,0)</f>
        <v>0</v>
      </c>
      <c r="AK18" s="26">
        <f>IF(AN18=15,N18,0)</f>
        <v>0</v>
      </c>
      <c r="AL18" s="26">
        <f>IF(AN18=21,N18,0)</f>
        <v>0</v>
      </c>
      <c r="AN18" s="36">
        <v>21</v>
      </c>
      <c r="AO18" s="36">
        <f>K18*0.745836734693878</f>
        <v>0</v>
      </c>
      <c r="AP18" s="36">
        <f>K18*(1-0.745836734693878)</f>
        <v>0</v>
      </c>
      <c r="AQ18" s="37" t="s">
        <v>13</v>
      </c>
      <c r="AV18" s="36">
        <f>AW18+AX18</f>
        <v>0</v>
      </c>
      <c r="AW18" s="36">
        <f>J18*AO18</f>
        <v>0</v>
      </c>
      <c r="AX18" s="36">
        <f>J18*AP18</f>
        <v>0</v>
      </c>
      <c r="AY18" s="39" t="s">
        <v>488</v>
      </c>
      <c r="AZ18" s="39" t="s">
        <v>504</v>
      </c>
      <c r="BA18" s="35" t="s">
        <v>520</v>
      </c>
      <c r="BC18" s="36">
        <f>AW18+AX18</f>
        <v>0</v>
      </c>
      <c r="BD18" s="36">
        <f>K18/(100-BE18)*100</f>
        <v>0</v>
      </c>
      <c r="BE18" s="36">
        <v>0</v>
      </c>
      <c r="BF18" s="36">
        <f>18</f>
        <v>18</v>
      </c>
      <c r="BH18" s="26">
        <f>J18*AO18</f>
        <v>0</v>
      </c>
      <c r="BI18" s="26">
        <f>J18*AP18</f>
        <v>0</v>
      </c>
      <c r="BJ18" s="26">
        <f>J18*K18</f>
        <v>0</v>
      </c>
      <c r="BK18" s="26" t="s">
        <v>526</v>
      </c>
      <c r="BL18" s="36">
        <v>781</v>
      </c>
    </row>
    <row r="19" spans="1:64" ht="12.75">
      <c r="A19" s="5" t="s">
        <v>11</v>
      </c>
      <c r="B19" s="16" t="s">
        <v>207</v>
      </c>
      <c r="C19" s="16" t="s">
        <v>215</v>
      </c>
      <c r="D19" s="127" t="s">
        <v>334</v>
      </c>
      <c r="E19" s="128"/>
      <c r="F19" s="128"/>
      <c r="G19" s="128"/>
      <c r="H19" s="128"/>
      <c r="I19" s="16" t="s">
        <v>460</v>
      </c>
      <c r="J19" s="26">
        <v>81.335</v>
      </c>
      <c r="K19" s="26">
        <v>0</v>
      </c>
      <c r="L19" s="26">
        <f>J19*AO19</f>
        <v>0</v>
      </c>
      <c r="M19" s="26">
        <f>J19*AP19</f>
        <v>0</v>
      </c>
      <c r="N19" s="46">
        <f>J19*K19</f>
        <v>0</v>
      </c>
      <c r="O19" s="7"/>
      <c r="Z19" s="36">
        <f>IF(AQ19="5",BJ19,0)</f>
        <v>0</v>
      </c>
      <c r="AB19" s="36">
        <f>IF(AQ19="1",BH19,0)</f>
        <v>0</v>
      </c>
      <c r="AC19" s="36">
        <f>IF(AQ19="1",BI19,0)</f>
        <v>0</v>
      </c>
      <c r="AD19" s="36">
        <f>IF(AQ19="7",BH19,0)</f>
        <v>0</v>
      </c>
      <c r="AE19" s="36">
        <f>IF(AQ19="7",BI19,0)</f>
        <v>0</v>
      </c>
      <c r="AF19" s="36">
        <f>IF(AQ19="2",BH19,0)</f>
        <v>0</v>
      </c>
      <c r="AG19" s="36">
        <f>IF(AQ19="2",BI19,0)</f>
        <v>0</v>
      </c>
      <c r="AH19" s="36">
        <f>IF(AQ19="0",BJ19,0)</f>
        <v>0</v>
      </c>
      <c r="AI19" s="35" t="s">
        <v>207</v>
      </c>
      <c r="AJ19" s="26">
        <f>IF(AN19=0,N19,0)</f>
        <v>0</v>
      </c>
      <c r="AK19" s="26">
        <f>IF(AN19=15,N19,0)</f>
        <v>0</v>
      </c>
      <c r="AL19" s="26">
        <f>IF(AN19=21,N19,0)</f>
        <v>0</v>
      </c>
      <c r="AN19" s="36">
        <v>21</v>
      </c>
      <c r="AO19" s="36">
        <f>K19*0.50665411082179</f>
        <v>0</v>
      </c>
      <c r="AP19" s="36">
        <f>K19*(1-0.50665411082179)</f>
        <v>0</v>
      </c>
      <c r="AQ19" s="37" t="s">
        <v>13</v>
      </c>
      <c r="AV19" s="36">
        <f>AW19+AX19</f>
        <v>0</v>
      </c>
      <c r="AW19" s="36">
        <f>J19*AO19</f>
        <v>0</v>
      </c>
      <c r="AX19" s="36">
        <f>J19*AP19</f>
        <v>0</v>
      </c>
      <c r="AY19" s="39" t="s">
        <v>488</v>
      </c>
      <c r="AZ19" s="39" t="s">
        <v>504</v>
      </c>
      <c r="BA19" s="35" t="s">
        <v>520</v>
      </c>
      <c r="BC19" s="36">
        <f>AW19+AX19</f>
        <v>0</v>
      </c>
      <c r="BD19" s="36">
        <f>K19/(100-BE19)*100</f>
        <v>0</v>
      </c>
      <c r="BE19" s="36">
        <v>0</v>
      </c>
      <c r="BF19" s="36">
        <f>19</f>
        <v>19</v>
      </c>
      <c r="BH19" s="26">
        <f>J19*AO19</f>
        <v>0</v>
      </c>
      <c r="BI19" s="26">
        <f>J19*AP19</f>
        <v>0</v>
      </c>
      <c r="BJ19" s="26">
        <f>J19*K19</f>
        <v>0</v>
      </c>
      <c r="BK19" s="26" t="s">
        <v>526</v>
      </c>
      <c r="BL19" s="36">
        <v>781</v>
      </c>
    </row>
    <row r="20" spans="1:64" ht="12.75">
      <c r="A20" s="5" t="s">
        <v>12</v>
      </c>
      <c r="B20" s="16" t="s">
        <v>207</v>
      </c>
      <c r="C20" s="16" t="s">
        <v>216</v>
      </c>
      <c r="D20" s="127" t="s">
        <v>335</v>
      </c>
      <c r="E20" s="128"/>
      <c r="F20" s="128"/>
      <c r="G20" s="128"/>
      <c r="H20" s="128"/>
      <c r="I20" s="16" t="s">
        <v>462</v>
      </c>
      <c r="J20" s="26">
        <v>25</v>
      </c>
      <c r="K20" s="26">
        <v>0</v>
      </c>
      <c r="L20" s="26">
        <f>J20*AO20</f>
        <v>0</v>
      </c>
      <c r="M20" s="26">
        <f>J20*AP20</f>
        <v>0</v>
      </c>
      <c r="N20" s="46">
        <f>J20*K20</f>
        <v>0</v>
      </c>
      <c r="O20" s="7"/>
      <c r="Z20" s="36">
        <f>IF(AQ20="5",BJ20,0)</f>
        <v>0</v>
      </c>
      <c r="AB20" s="36">
        <f>IF(AQ20="1",BH20,0)</f>
        <v>0</v>
      </c>
      <c r="AC20" s="36">
        <f>IF(AQ20="1",BI20,0)</f>
        <v>0</v>
      </c>
      <c r="AD20" s="36">
        <f>IF(AQ20="7",BH20,0)</f>
        <v>0</v>
      </c>
      <c r="AE20" s="36">
        <f>IF(AQ20="7",BI20,0)</f>
        <v>0</v>
      </c>
      <c r="AF20" s="36">
        <f>IF(AQ20="2",BH20,0)</f>
        <v>0</v>
      </c>
      <c r="AG20" s="36">
        <f>IF(AQ20="2",BI20,0)</f>
        <v>0</v>
      </c>
      <c r="AH20" s="36">
        <f>IF(AQ20="0",BJ20,0)</f>
        <v>0</v>
      </c>
      <c r="AI20" s="35" t="s">
        <v>207</v>
      </c>
      <c r="AJ20" s="26">
        <f>IF(AN20=0,N20,0)</f>
        <v>0</v>
      </c>
      <c r="AK20" s="26">
        <f>IF(AN20=15,N20,0)</f>
        <v>0</v>
      </c>
      <c r="AL20" s="26">
        <f>IF(AN20=21,N20,0)</f>
        <v>0</v>
      </c>
      <c r="AN20" s="36">
        <v>21</v>
      </c>
      <c r="AO20" s="36">
        <f>K20*0.0627257799671593</f>
        <v>0</v>
      </c>
      <c r="AP20" s="36">
        <f>K20*(1-0.0627257799671593)</f>
        <v>0</v>
      </c>
      <c r="AQ20" s="37" t="s">
        <v>13</v>
      </c>
      <c r="AV20" s="36">
        <f>AW20+AX20</f>
        <v>0</v>
      </c>
      <c r="AW20" s="36">
        <f>J20*AO20</f>
        <v>0</v>
      </c>
      <c r="AX20" s="36">
        <f>J20*AP20</f>
        <v>0</v>
      </c>
      <c r="AY20" s="39" t="s">
        <v>488</v>
      </c>
      <c r="AZ20" s="39" t="s">
        <v>504</v>
      </c>
      <c r="BA20" s="35" t="s">
        <v>520</v>
      </c>
      <c r="BC20" s="36">
        <f>AW20+AX20</f>
        <v>0</v>
      </c>
      <c r="BD20" s="36">
        <f>K20/(100-BE20)*100</f>
        <v>0</v>
      </c>
      <c r="BE20" s="36">
        <v>0</v>
      </c>
      <c r="BF20" s="36">
        <f>20</f>
        <v>20</v>
      </c>
      <c r="BH20" s="26">
        <f>J20*AO20</f>
        <v>0</v>
      </c>
      <c r="BI20" s="26">
        <f>J20*AP20</f>
        <v>0</v>
      </c>
      <c r="BJ20" s="26">
        <f>J20*K20</f>
        <v>0</v>
      </c>
      <c r="BK20" s="26" t="s">
        <v>526</v>
      </c>
      <c r="BL20" s="36">
        <v>781</v>
      </c>
    </row>
    <row r="21" spans="1:64" ht="12.75">
      <c r="A21" s="5" t="s">
        <v>13</v>
      </c>
      <c r="B21" s="16" t="s">
        <v>207</v>
      </c>
      <c r="C21" s="16" t="s">
        <v>217</v>
      </c>
      <c r="D21" s="127" t="s">
        <v>336</v>
      </c>
      <c r="E21" s="128"/>
      <c r="F21" s="128"/>
      <c r="G21" s="128"/>
      <c r="H21" s="128"/>
      <c r="I21" s="16" t="s">
        <v>463</v>
      </c>
      <c r="J21" s="26">
        <v>2.5</v>
      </c>
      <c r="K21" s="26">
        <v>0</v>
      </c>
      <c r="L21" s="26">
        <f>J21*AO21</f>
        <v>0</v>
      </c>
      <c r="M21" s="26">
        <f>J21*AP21</f>
        <v>0</v>
      </c>
      <c r="N21" s="46">
        <f>J21*K21</f>
        <v>0</v>
      </c>
      <c r="O21" s="7"/>
      <c r="Z21" s="36">
        <f>IF(AQ21="5",BJ21,0)</f>
        <v>0</v>
      </c>
      <c r="AB21" s="36">
        <f>IF(AQ21="1",BH21,0)</f>
        <v>0</v>
      </c>
      <c r="AC21" s="36">
        <f>IF(AQ21="1",BI21,0)</f>
        <v>0</v>
      </c>
      <c r="AD21" s="36">
        <f>IF(AQ21="7",BH21,0)</f>
        <v>0</v>
      </c>
      <c r="AE21" s="36">
        <f>IF(AQ21="7",BI21,0)</f>
        <v>0</v>
      </c>
      <c r="AF21" s="36">
        <f>IF(AQ21="2",BH21,0)</f>
        <v>0</v>
      </c>
      <c r="AG21" s="36">
        <f>IF(AQ21="2",BI21,0)</f>
        <v>0</v>
      </c>
      <c r="AH21" s="36">
        <f>IF(AQ21="0",BJ21,0)</f>
        <v>0</v>
      </c>
      <c r="AI21" s="35" t="s">
        <v>207</v>
      </c>
      <c r="AJ21" s="26">
        <f>IF(AN21=0,N21,0)</f>
        <v>0</v>
      </c>
      <c r="AK21" s="26">
        <f>IF(AN21=15,N21,0)</f>
        <v>0</v>
      </c>
      <c r="AL21" s="26">
        <f>IF(AN21=21,N21,0)</f>
        <v>0</v>
      </c>
      <c r="AN21" s="36">
        <v>21</v>
      </c>
      <c r="AO21" s="36">
        <f>K21*0</f>
        <v>0</v>
      </c>
      <c r="AP21" s="36">
        <f>K21*(1-0)</f>
        <v>0</v>
      </c>
      <c r="AQ21" s="37" t="s">
        <v>11</v>
      </c>
      <c r="AV21" s="36">
        <f>AW21+AX21</f>
        <v>0</v>
      </c>
      <c r="AW21" s="36">
        <f>J21*AO21</f>
        <v>0</v>
      </c>
      <c r="AX21" s="36">
        <f>J21*AP21</f>
        <v>0</v>
      </c>
      <c r="AY21" s="39" t="s">
        <v>488</v>
      </c>
      <c r="AZ21" s="39" t="s">
        <v>504</v>
      </c>
      <c r="BA21" s="35" t="s">
        <v>520</v>
      </c>
      <c r="BC21" s="36">
        <f>AW21+AX21</f>
        <v>0</v>
      </c>
      <c r="BD21" s="36">
        <f>K21/(100-BE21)*100</f>
        <v>0</v>
      </c>
      <c r="BE21" s="36">
        <v>0</v>
      </c>
      <c r="BF21" s="36">
        <f>21</f>
        <v>21</v>
      </c>
      <c r="BH21" s="26">
        <f>J21*AO21</f>
        <v>0</v>
      </c>
      <c r="BI21" s="26">
        <f>J21*AP21</f>
        <v>0</v>
      </c>
      <c r="BJ21" s="26">
        <f>J21*K21</f>
        <v>0</v>
      </c>
      <c r="BK21" s="26" t="s">
        <v>526</v>
      </c>
      <c r="BL21" s="36">
        <v>781</v>
      </c>
    </row>
    <row r="22" spans="1:47" ht="12.75">
      <c r="A22" s="4"/>
      <c r="B22" s="15" t="s">
        <v>207</v>
      </c>
      <c r="C22" s="15" t="s">
        <v>218</v>
      </c>
      <c r="D22" s="129" t="s">
        <v>337</v>
      </c>
      <c r="E22" s="130"/>
      <c r="F22" s="130"/>
      <c r="G22" s="130"/>
      <c r="H22" s="130"/>
      <c r="I22" s="23" t="s">
        <v>6</v>
      </c>
      <c r="J22" s="23" t="s">
        <v>6</v>
      </c>
      <c r="K22" s="23" t="s">
        <v>6</v>
      </c>
      <c r="L22" s="42">
        <f>SUM(L23:L31)</f>
        <v>0</v>
      </c>
      <c r="M22" s="42">
        <f>SUM(M23:M31)</f>
        <v>0</v>
      </c>
      <c r="N22" s="45">
        <f>SUM(N23:N31)</f>
        <v>0</v>
      </c>
      <c r="O22" s="7"/>
      <c r="AI22" s="35" t="s">
        <v>207</v>
      </c>
      <c r="AS22" s="42">
        <f>SUM(AJ23:AJ31)</f>
        <v>0</v>
      </c>
      <c r="AT22" s="42">
        <f>SUM(AK23:AK31)</f>
        <v>0</v>
      </c>
      <c r="AU22" s="42">
        <f>SUM(AL23:AL31)</f>
        <v>0</v>
      </c>
    </row>
    <row r="23" spans="1:64" ht="12.75">
      <c r="A23" s="5" t="s">
        <v>14</v>
      </c>
      <c r="B23" s="16" t="s">
        <v>207</v>
      </c>
      <c r="C23" s="16" t="s">
        <v>219</v>
      </c>
      <c r="D23" s="127" t="s">
        <v>338</v>
      </c>
      <c r="E23" s="128"/>
      <c r="F23" s="128"/>
      <c r="G23" s="128"/>
      <c r="H23" s="128"/>
      <c r="I23" s="16" t="s">
        <v>460</v>
      </c>
      <c r="J23" s="26">
        <v>20.28</v>
      </c>
      <c r="K23" s="26">
        <v>0</v>
      </c>
      <c r="L23" s="26">
        <f aca="true" t="shared" si="0" ref="L23:L28">J23*AO23</f>
        <v>0</v>
      </c>
      <c r="M23" s="26">
        <f aca="true" t="shared" si="1" ref="M23:M28">J23*AP23</f>
        <v>0</v>
      </c>
      <c r="N23" s="46">
        <f aca="true" t="shared" si="2" ref="N23:N28">J23*K23</f>
        <v>0</v>
      </c>
      <c r="O23" s="7"/>
      <c r="Z23" s="36">
        <f aca="true" t="shared" si="3" ref="Z23:Z28">IF(AQ23="5",BJ23,0)</f>
        <v>0</v>
      </c>
      <c r="AB23" s="36">
        <f aca="true" t="shared" si="4" ref="AB23:AB28">IF(AQ23="1",BH23,0)</f>
        <v>0</v>
      </c>
      <c r="AC23" s="36">
        <f aca="true" t="shared" si="5" ref="AC23:AC28">IF(AQ23="1",BI23,0)</f>
        <v>0</v>
      </c>
      <c r="AD23" s="36">
        <f aca="true" t="shared" si="6" ref="AD23:AD28">IF(AQ23="7",BH23,0)</f>
        <v>0</v>
      </c>
      <c r="AE23" s="36">
        <f aca="true" t="shared" si="7" ref="AE23:AE28">IF(AQ23="7",BI23,0)</f>
        <v>0</v>
      </c>
      <c r="AF23" s="36">
        <f aca="true" t="shared" si="8" ref="AF23:AF28">IF(AQ23="2",BH23,0)</f>
        <v>0</v>
      </c>
      <c r="AG23" s="36">
        <f aca="true" t="shared" si="9" ref="AG23:AG28">IF(AQ23="2",BI23,0)</f>
        <v>0</v>
      </c>
      <c r="AH23" s="36">
        <f aca="true" t="shared" si="10" ref="AH23:AH28">IF(AQ23="0",BJ23,0)</f>
        <v>0</v>
      </c>
      <c r="AI23" s="35" t="s">
        <v>207</v>
      </c>
      <c r="AJ23" s="26">
        <f aca="true" t="shared" si="11" ref="AJ23:AJ28">IF(AN23=0,N23,0)</f>
        <v>0</v>
      </c>
      <c r="AK23" s="26">
        <f aca="true" t="shared" si="12" ref="AK23:AK28">IF(AN23=15,N23,0)</f>
        <v>0</v>
      </c>
      <c r="AL23" s="26">
        <f aca="true" t="shared" si="13" ref="AL23:AL28">IF(AN23=21,N23,0)</f>
        <v>0</v>
      </c>
      <c r="AN23" s="36">
        <v>21</v>
      </c>
      <c r="AO23" s="36">
        <f>K23*0</f>
        <v>0</v>
      </c>
      <c r="AP23" s="36">
        <f>K23*(1-0)</f>
        <v>0</v>
      </c>
      <c r="AQ23" s="37" t="s">
        <v>13</v>
      </c>
      <c r="AV23" s="36">
        <f aca="true" t="shared" si="14" ref="AV23:AV28">AW23+AX23</f>
        <v>0</v>
      </c>
      <c r="AW23" s="36">
        <f aca="true" t="shared" si="15" ref="AW23:AW28">J23*AO23</f>
        <v>0</v>
      </c>
      <c r="AX23" s="36">
        <f aca="true" t="shared" si="16" ref="AX23:AX28">J23*AP23</f>
        <v>0</v>
      </c>
      <c r="AY23" s="39" t="s">
        <v>489</v>
      </c>
      <c r="AZ23" s="39" t="s">
        <v>505</v>
      </c>
      <c r="BA23" s="35" t="s">
        <v>520</v>
      </c>
      <c r="BC23" s="36">
        <f aca="true" t="shared" si="17" ref="BC23:BC28">AW23+AX23</f>
        <v>0</v>
      </c>
      <c r="BD23" s="36">
        <f aca="true" t="shared" si="18" ref="BD23:BD28">K23/(100-BE23)*100</f>
        <v>0</v>
      </c>
      <c r="BE23" s="36">
        <v>0</v>
      </c>
      <c r="BF23" s="36">
        <f>23</f>
        <v>23</v>
      </c>
      <c r="BH23" s="26">
        <f aca="true" t="shared" si="19" ref="BH23:BH28">J23*AO23</f>
        <v>0</v>
      </c>
      <c r="BI23" s="26">
        <f aca="true" t="shared" si="20" ref="BI23:BI28">J23*AP23</f>
        <v>0</v>
      </c>
      <c r="BJ23" s="26">
        <f aca="true" t="shared" si="21" ref="BJ23:BJ28">J23*K23</f>
        <v>0</v>
      </c>
      <c r="BK23" s="26" t="s">
        <v>526</v>
      </c>
      <c r="BL23" s="36">
        <v>771</v>
      </c>
    </row>
    <row r="24" spans="1:64" ht="12.75">
      <c r="A24" s="5" t="s">
        <v>15</v>
      </c>
      <c r="B24" s="16" t="s">
        <v>207</v>
      </c>
      <c r="C24" s="16" t="s">
        <v>220</v>
      </c>
      <c r="D24" s="127" t="s">
        <v>339</v>
      </c>
      <c r="E24" s="128"/>
      <c r="F24" s="128"/>
      <c r="G24" s="128"/>
      <c r="H24" s="128"/>
      <c r="I24" s="16" t="s">
        <v>460</v>
      </c>
      <c r="J24" s="26">
        <v>20.28</v>
      </c>
      <c r="K24" s="26">
        <v>0</v>
      </c>
      <c r="L24" s="26">
        <f t="shared" si="0"/>
        <v>0</v>
      </c>
      <c r="M24" s="26">
        <f t="shared" si="1"/>
        <v>0</v>
      </c>
      <c r="N24" s="46">
        <f t="shared" si="2"/>
        <v>0</v>
      </c>
      <c r="O24" s="7"/>
      <c r="Z24" s="36">
        <f t="shared" si="3"/>
        <v>0</v>
      </c>
      <c r="AB24" s="36">
        <f t="shared" si="4"/>
        <v>0</v>
      </c>
      <c r="AC24" s="36">
        <f t="shared" si="5"/>
        <v>0</v>
      </c>
      <c r="AD24" s="36">
        <f t="shared" si="6"/>
        <v>0</v>
      </c>
      <c r="AE24" s="36">
        <f t="shared" si="7"/>
        <v>0</v>
      </c>
      <c r="AF24" s="36">
        <f t="shared" si="8"/>
        <v>0</v>
      </c>
      <c r="AG24" s="36">
        <f t="shared" si="9"/>
        <v>0</v>
      </c>
      <c r="AH24" s="36">
        <f t="shared" si="10"/>
        <v>0</v>
      </c>
      <c r="AI24" s="35" t="s">
        <v>207</v>
      </c>
      <c r="AJ24" s="26">
        <f t="shared" si="11"/>
        <v>0</v>
      </c>
      <c r="AK24" s="26">
        <f t="shared" si="12"/>
        <v>0</v>
      </c>
      <c r="AL24" s="26">
        <f t="shared" si="13"/>
        <v>0</v>
      </c>
      <c r="AN24" s="36">
        <v>21</v>
      </c>
      <c r="AO24" s="36">
        <f>K24*0.506653042475603</f>
        <v>0</v>
      </c>
      <c r="AP24" s="36">
        <f>K24*(1-0.506653042475603)</f>
        <v>0</v>
      </c>
      <c r="AQ24" s="37" t="s">
        <v>13</v>
      </c>
      <c r="AV24" s="36">
        <f t="shared" si="14"/>
        <v>0</v>
      </c>
      <c r="AW24" s="36">
        <f t="shared" si="15"/>
        <v>0</v>
      </c>
      <c r="AX24" s="36">
        <f t="shared" si="16"/>
        <v>0</v>
      </c>
      <c r="AY24" s="39" t="s">
        <v>489</v>
      </c>
      <c r="AZ24" s="39" t="s">
        <v>505</v>
      </c>
      <c r="BA24" s="35" t="s">
        <v>520</v>
      </c>
      <c r="BC24" s="36">
        <f t="shared" si="17"/>
        <v>0</v>
      </c>
      <c r="BD24" s="36">
        <f t="shared" si="18"/>
        <v>0</v>
      </c>
      <c r="BE24" s="36">
        <v>0</v>
      </c>
      <c r="BF24" s="36">
        <f>24</f>
        <v>24</v>
      </c>
      <c r="BH24" s="26">
        <f t="shared" si="19"/>
        <v>0</v>
      </c>
      <c r="BI24" s="26">
        <f t="shared" si="20"/>
        <v>0</v>
      </c>
      <c r="BJ24" s="26">
        <f t="shared" si="21"/>
        <v>0</v>
      </c>
      <c r="BK24" s="26" t="s">
        <v>526</v>
      </c>
      <c r="BL24" s="36">
        <v>771</v>
      </c>
    </row>
    <row r="25" spans="1:64" ht="12.75">
      <c r="A25" s="5" t="s">
        <v>16</v>
      </c>
      <c r="B25" s="16" t="s">
        <v>207</v>
      </c>
      <c r="C25" s="16" t="s">
        <v>221</v>
      </c>
      <c r="D25" s="127" t="s">
        <v>340</v>
      </c>
      <c r="E25" s="128"/>
      <c r="F25" s="128"/>
      <c r="G25" s="128"/>
      <c r="H25" s="128"/>
      <c r="I25" s="16" t="s">
        <v>460</v>
      </c>
      <c r="J25" s="26">
        <v>20.28</v>
      </c>
      <c r="K25" s="26">
        <v>0</v>
      </c>
      <c r="L25" s="26">
        <f t="shared" si="0"/>
        <v>0</v>
      </c>
      <c r="M25" s="26">
        <f t="shared" si="1"/>
        <v>0</v>
      </c>
      <c r="N25" s="46">
        <f t="shared" si="2"/>
        <v>0</v>
      </c>
      <c r="O25" s="7"/>
      <c r="Z25" s="36">
        <f t="shared" si="3"/>
        <v>0</v>
      </c>
      <c r="AB25" s="36">
        <f t="shared" si="4"/>
        <v>0</v>
      </c>
      <c r="AC25" s="36">
        <f t="shared" si="5"/>
        <v>0</v>
      </c>
      <c r="AD25" s="36">
        <f t="shared" si="6"/>
        <v>0</v>
      </c>
      <c r="AE25" s="36">
        <f t="shared" si="7"/>
        <v>0</v>
      </c>
      <c r="AF25" s="36">
        <f t="shared" si="8"/>
        <v>0</v>
      </c>
      <c r="AG25" s="36">
        <f t="shared" si="9"/>
        <v>0</v>
      </c>
      <c r="AH25" s="36">
        <f t="shared" si="10"/>
        <v>0</v>
      </c>
      <c r="AI25" s="35" t="s">
        <v>207</v>
      </c>
      <c r="AJ25" s="26">
        <f t="shared" si="11"/>
        <v>0</v>
      </c>
      <c r="AK25" s="26">
        <f t="shared" si="12"/>
        <v>0</v>
      </c>
      <c r="AL25" s="26">
        <f t="shared" si="13"/>
        <v>0</v>
      </c>
      <c r="AN25" s="36">
        <v>21</v>
      </c>
      <c r="AO25" s="36">
        <f>K25*0</f>
        <v>0</v>
      </c>
      <c r="AP25" s="36">
        <f>K25*(1-0)</f>
        <v>0</v>
      </c>
      <c r="AQ25" s="37" t="s">
        <v>13</v>
      </c>
      <c r="AV25" s="36">
        <f t="shared" si="14"/>
        <v>0</v>
      </c>
      <c r="AW25" s="36">
        <f t="shared" si="15"/>
        <v>0</v>
      </c>
      <c r="AX25" s="36">
        <f t="shared" si="16"/>
        <v>0</v>
      </c>
      <c r="AY25" s="39" t="s">
        <v>489</v>
      </c>
      <c r="AZ25" s="39" t="s">
        <v>505</v>
      </c>
      <c r="BA25" s="35" t="s">
        <v>520</v>
      </c>
      <c r="BC25" s="36">
        <f t="shared" si="17"/>
        <v>0</v>
      </c>
      <c r="BD25" s="36">
        <f t="shared" si="18"/>
        <v>0</v>
      </c>
      <c r="BE25" s="36">
        <v>0</v>
      </c>
      <c r="BF25" s="36">
        <f>25</f>
        <v>25</v>
      </c>
      <c r="BH25" s="26">
        <f t="shared" si="19"/>
        <v>0</v>
      </c>
      <c r="BI25" s="26">
        <f t="shared" si="20"/>
        <v>0</v>
      </c>
      <c r="BJ25" s="26">
        <f t="shared" si="21"/>
        <v>0</v>
      </c>
      <c r="BK25" s="26" t="s">
        <v>526</v>
      </c>
      <c r="BL25" s="36">
        <v>771</v>
      </c>
    </row>
    <row r="26" spans="1:64" ht="12.75">
      <c r="A26" s="6" t="s">
        <v>17</v>
      </c>
      <c r="B26" s="17" t="s">
        <v>207</v>
      </c>
      <c r="C26" s="17" t="s">
        <v>222</v>
      </c>
      <c r="D26" s="133" t="s">
        <v>341</v>
      </c>
      <c r="E26" s="134"/>
      <c r="F26" s="134"/>
      <c r="G26" s="134"/>
      <c r="H26" s="134"/>
      <c r="I26" s="17" t="s">
        <v>464</v>
      </c>
      <c r="J26" s="27">
        <v>304.2</v>
      </c>
      <c r="K26" s="27">
        <v>0</v>
      </c>
      <c r="L26" s="27">
        <f t="shared" si="0"/>
        <v>0</v>
      </c>
      <c r="M26" s="27">
        <f t="shared" si="1"/>
        <v>0</v>
      </c>
      <c r="N26" s="47">
        <f t="shared" si="2"/>
        <v>0</v>
      </c>
      <c r="O26" s="7"/>
      <c r="Z26" s="36">
        <f t="shared" si="3"/>
        <v>0</v>
      </c>
      <c r="AB26" s="36">
        <f t="shared" si="4"/>
        <v>0</v>
      </c>
      <c r="AC26" s="36">
        <f t="shared" si="5"/>
        <v>0</v>
      </c>
      <c r="AD26" s="36">
        <f t="shared" si="6"/>
        <v>0</v>
      </c>
      <c r="AE26" s="36">
        <f t="shared" si="7"/>
        <v>0</v>
      </c>
      <c r="AF26" s="36">
        <f t="shared" si="8"/>
        <v>0</v>
      </c>
      <c r="AG26" s="36">
        <f t="shared" si="9"/>
        <v>0</v>
      </c>
      <c r="AH26" s="36">
        <f t="shared" si="10"/>
        <v>0</v>
      </c>
      <c r="AI26" s="35" t="s">
        <v>207</v>
      </c>
      <c r="AJ26" s="27">
        <f t="shared" si="11"/>
        <v>0</v>
      </c>
      <c r="AK26" s="27">
        <f t="shared" si="12"/>
        <v>0</v>
      </c>
      <c r="AL26" s="27">
        <f t="shared" si="13"/>
        <v>0</v>
      </c>
      <c r="AN26" s="36">
        <v>21</v>
      </c>
      <c r="AO26" s="36">
        <f>K26*1</f>
        <v>0</v>
      </c>
      <c r="AP26" s="36">
        <f>K26*(1-1)</f>
        <v>0</v>
      </c>
      <c r="AQ26" s="38" t="s">
        <v>13</v>
      </c>
      <c r="AV26" s="36">
        <f t="shared" si="14"/>
        <v>0</v>
      </c>
      <c r="AW26" s="36">
        <f t="shared" si="15"/>
        <v>0</v>
      </c>
      <c r="AX26" s="36">
        <f t="shared" si="16"/>
        <v>0</v>
      </c>
      <c r="AY26" s="39" t="s">
        <v>489</v>
      </c>
      <c r="AZ26" s="39" t="s">
        <v>505</v>
      </c>
      <c r="BA26" s="35" t="s">
        <v>520</v>
      </c>
      <c r="BC26" s="36">
        <f t="shared" si="17"/>
        <v>0</v>
      </c>
      <c r="BD26" s="36">
        <f t="shared" si="18"/>
        <v>0</v>
      </c>
      <c r="BE26" s="36">
        <v>0</v>
      </c>
      <c r="BF26" s="36">
        <f>26</f>
        <v>26</v>
      </c>
      <c r="BH26" s="27">
        <f t="shared" si="19"/>
        <v>0</v>
      </c>
      <c r="BI26" s="27">
        <f t="shared" si="20"/>
        <v>0</v>
      </c>
      <c r="BJ26" s="27">
        <f t="shared" si="21"/>
        <v>0</v>
      </c>
      <c r="BK26" s="27" t="s">
        <v>527</v>
      </c>
      <c r="BL26" s="36">
        <v>771</v>
      </c>
    </row>
    <row r="27" spans="1:64" ht="12.75">
      <c r="A27" s="5" t="s">
        <v>18</v>
      </c>
      <c r="B27" s="16" t="s">
        <v>207</v>
      </c>
      <c r="C27" s="16" t="s">
        <v>223</v>
      </c>
      <c r="D27" s="127" t="s">
        <v>342</v>
      </c>
      <c r="E27" s="128"/>
      <c r="F27" s="128"/>
      <c r="G27" s="128"/>
      <c r="H27" s="128"/>
      <c r="I27" s="16" t="s">
        <v>460</v>
      </c>
      <c r="J27" s="26">
        <v>20.28</v>
      </c>
      <c r="K27" s="26">
        <v>0</v>
      </c>
      <c r="L27" s="26">
        <f t="shared" si="0"/>
        <v>0</v>
      </c>
      <c r="M27" s="26">
        <f t="shared" si="1"/>
        <v>0</v>
      </c>
      <c r="N27" s="46">
        <f t="shared" si="2"/>
        <v>0</v>
      </c>
      <c r="O27" s="7"/>
      <c r="Z27" s="36">
        <f t="shared" si="3"/>
        <v>0</v>
      </c>
      <c r="AB27" s="36">
        <f t="shared" si="4"/>
        <v>0</v>
      </c>
      <c r="AC27" s="36">
        <f t="shared" si="5"/>
        <v>0</v>
      </c>
      <c r="AD27" s="36">
        <f t="shared" si="6"/>
        <v>0</v>
      </c>
      <c r="AE27" s="36">
        <f t="shared" si="7"/>
        <v>0</v>
      </c>
      <c r="AF27" s="36">
        <f t="shared" si="8"/>
        <v>0</v>
      </c>
      <c r="AG27" s="36">
        <f t="shared" si="9"/>
        <v>0</v>
      </c>
      <c r="AH27" s="36">
        <f t="shared" si="10"/>
        <v>0</v>
      </c>
      <c r="AI27" s="35" t="s">
        <v>207</v>
      </c>
      <c r="AJ27" s="26">
        <f t="shared" si="11"/>
        <v>0</v>
      </c>
      <c r="AK27" s="26">
        <f t="shared" si="12"/>
        <v>0</v>
      </c>
      <c r="AL27" s="26">
        <f t="shared" si="13"/>
        <v>0</v>
      </c>
      <c r="AN27" s="36">
        <v>21</v>
      </c>
      <c r="AO27" s="36">
        <f>K27*0.2071875</f>
        <v>0</v>
      </c>
      <c r="AP27" s="36">
        <f>K27*(1-0.2071875)</f>
        <v>0</v>
      </c>
      <c r="AQ27" s="37" t="s">
        <v>13</v>
      </c>
      <c r="AV27" s="36">
        <f t="shared" si="14"/>
        <v>0</v>
      </c>
      <c r="AW27" s="36">
        <f t="shared" si="15"/>
        <v>0</v>
      </c>
      <c r="AX27" s="36">
        <f t="shared" si="16"/>
        <v>0</v>
      </c>
      <c r="AY27" s="39" t="s">
        <v>489</v>
      </c>
      <c r="AZ27" s="39" t="s">
        <v>505</v>
      </c>
      <c r="BA27" s="35" t="s">
        <v>520</v>
      </c>
      <c r="BC27" s="36">
        <f t="shared" si="17"/>
        <v>0</v>
      </c>
      <c r="BD27" s="36">
        <f t="shared" si="18"/>
        <v>0</v>
      </c>
      <c r="BE27" s="36">
        <v>0</v>
      </c>
      <c r="BF27" s="36">
        <f>27</f>
        <v>27</v>
      </c>
      <c r="BH27" s="26">
        <f t="shared" si="19"/>
        <v>0</v>
      </c>
      <c r="BI27" s="26">
        <f t="shared" si="20"/>
        <v>0</v>
      </c>
      <c r="BJ27" s="26">
        <f t="shared" si="21"/>
        <v>0</v>
      </c>
      <c r="BK27" s="26" t="s">
        <v>526</v>
      </c>
      <c r="BL27" s="36">
        <v>771</v>
      </c>
    </row>
    <row r="28" spans="1:64" ht="12.75">
      <c r="A28" s="6" t="s">
        <v>19</v>
      </c>
      <c r="B28" s="17" t="s">
        <v>207</v>
      </c>
      <c r="C28" s="17" t="s">
        <v>224</v>
      </c>
      <c r="D28" s="133" t="s">
        <v>343</v>
      </c>
      <c r="E28" s="134"/>
      <c r="F28" s="134"/>
      <c r="G28" s="134"/>
      <c r="H28" s="134"/>
      <c r="I28" s="17" t="s">
        <v>460</v>
      </c>
      <c r="J28" s="27">
        <v>22.308</v>
      </c>
      <c r="K28" s="27">
        <v>0</v>
      </c>
      <c r="L28" s="27">
        <f t="shared" si="0"/>
        <v>0</v>
      </c>
      <c r="M28" s="27">
        <f t="shared" si="1"/>
        <v>0</v>
      </c>
      <c r="N28" s="47">
        <f t="shared" si="2"/>
        <v>0</v>
      </c>
      <c r="O28" s="7"/>
      <c r="Z28" s="36">
        <f t="shared" si="3"/>
        <v>0</v>
      </c>
      <c r="AB28" s="36">
        <f t="shared" si="4"/>
        <v>0</v>
      </c>
      <c r="AC28" s="36">
        <f t="shared" si="5"/>
        <v>0</v>
      </c>
      <c r="AD28" s="36">
        <f t="shared" si="6"/>
        <v>0</v>
      </c>
      <c r="AE28" s="36">
        <f t="shared" si="7"/>
        <v>0</v>
      </c>
      <c r="AF28" s="36">
        <f t="shared" si="8"/>
        <v>0</v>
      </c>
      <c r="AG28" s="36">
        <f t="shared" si="9"/>
        <v>0</v>
      </c>
      <c r="AH28" s="36">
        <f t="shared" si="10"/>
        <v>0</v>
      </c>
      <c r="AI28" s="35" t="s">
        <v>207</v>
      </c>
      <c r="AJ28" s="27">
        <f t="shared" si="11"/>
        <v>0</v>
      </c>
      <c r="AK28" s="27">
        <f t="shared" si="12"/>
        <v>0</v>
      </c>
      <c r="AL28" s="27">
        <f t="shared" si="13"/>
        <v>0</v>
      </c>
      <c r="AN28" s="36">
        <v>21</v>
      </c>
      <c r="AO28" s="36">
        <f>K28*1</f>
        <v>0</v>
      </c>
      <c r="AP28" s="36">
        <f>K28*(1-1)</f>
        <v>0</v>
      </c>
      <c r="AQ28" s="38" t="s">
        <v>13</v>
      </c>
      <c r="AV28" s="36">
        <f t="shared" si="14"/>
        <v>0</v>
      </c>
      <c r="AW28" s="36">
        <f t="shared" si="15"/>
        <v>0</v>
      </c>
      <c r="AX28" s="36">
        <f t="shared" si="16"/>
        <v>0</v>
      </c>
      <c r="AY28" s="39" t="s">
        <v>489</v>
      </c>
      <c r="AZ28" s="39" t="s">
        <v>505</v>
      </c>
      <c r="BA28" s="35" t="s">
        <v>520</v>
      </c>
      <c r="BC28" s="36">
        <f t="shared" si="17"/>
        <v>0</v>
      </c>
      <c r="BD28" s="36">
        <f t="shared" si="18"/>
        <v>0</v>
      </c>
      <c r="BE28" s="36">
        <v>0</v>
      </c>
      <c r="BF28" s="36">
        <f>28</f>
        <v>28</v>
      </c>
      <c r="BH28" s="27">
        <f t="shared" si="19"/>
        <v>0</v>
      </c>
      <c r="BI28" s="27">
        <f t="shared" si="20"/>
        <v>0</v>
      </c>
      <c r="BJ28" s="27">
        <f t="shared" si="21"/>
        <v>0</v>
      </c>
      <c r="BK28" s="27" t="s">
        <v>527</v>
      </c>
      <c r="BL28" s="36">
        <v>771</v>
      </c>
    </row>
    <row r="29" spans="1:15" ht="12.75">
      <c r="A29" s="7"/>
      <c r="C29" s="20" t="s">
        <v>205</v>
      </c>
      <c r="D29" s="135" t="s">
        <v>332</v>
      </c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7"/>
    </row>
    <row r="30" spans="1:64" ht="12.75">
      <c r="A30" s="5" t="s">
        <v>20</v>
      </c>
      <c r="B30" s="16" t="s">
        <v>207</v>
      </c>
      <c r="C30" s="16" t="s">
        <v>225</v>
      </c>
      <c r="D30" s="127" t="s">
        <v>344</v>
      </c>
      <c r="E30" s="128"/>
      <c r="F30" s="128"/>
      <c r="G30" s="128"/>
      <c r="H30" s="128"/>
      <c r="I30" s="16" t="s">
        <v>461</v>
      </c>
      <c r="J30" s="26">
        <v>2</v>
      </c>
      <c r="K30" s="26">
        <v>0</v>
      </c>
      <c r="L30" s="26">
        <f>J30*AO30</f>
        <v>0</v>
      </c>
      <c r="M30" s="26">
        <f>J30*AP30</f>
        <v>0</v>
      </c>
      <c r="N30" s="46">
        <f>J30*K30</f>
        <v>0</v>
      </c>
      <c r="O30" s="7"/>
      <c r="Z30" s="36">
        <f>IF(AQ30="5",BJ30,0)</f>
        <v>0</v>
      </c>
      <c r="AB30" s="36">
        <f>IF(AQ30="1",BH30,0)</f>
        <v>0</v>
      </c>
      <c r="AC30" s="36">
        <f>IF(AQ30="1",BI30,0)</f>
        <v>0</v>
      </c>
      <c r="AD30" s="36">
        <f>IF(AQ30="7",BH30,0)</f>
        <v>0</v>
      </c>
      <c r="AE30" s="36">
        <f>IF(AQ30="7",BI30,0)</f>
        <v>0</v>
      </c>
      <c r="AF30" s="36">
        <f>IF(AQ30="2",BH30,0)</f>
        <v>0</v>
      </c>
      <c r="AG30" s="36">
        <f>IF(AQ30="2",BI30,0)</f>
        <v>0</v>
      </c>
      <c r="AH30" s="36">
        <f>IF(AQ30="0",BJ30,0)</f>
        <v>0</v>
      </c>
      <c r="AI30" s="35" t="s">
        <v>207</v>
      </c>
      <c r="AJ30" s="26">
        <f>IF(AN30=0,N30,0)</f>
        <v>0</v>
      </c>
      <c r="AK30" s="26">
        <f>IF(AN30=15,N30,0)</f>
        <v>0</v>
      </c>
      <c r="AL30" s="26">
        <f>IF(AN30=21,N30,0)</f>
        <v>0</v>
      </c>
      <c r="AN30" s="36">
        <v>21</v>
      </c>
      <c r="AO30" s="36">
        <f>K30*0.722495543672014</f>
        <v>0</v>
      </c>
      <c r="AP30" s="36">
        <f>K30*(1-0.722495543672014)</f>
        <v>0</v>
      </c>
      <c r="AQ30" s="37" t="s">
        <v>13</v>
      </c>
      <c r="AV30" s="36">
        <f>AW30+AX30</f>
        <v>0</v>
      </c>
      <c r="AW30" s="36">
        <f>J30*AO30</f>
        <v>0</v>
      </c>
      <c r="AX30" s="36">
        <f>J30*AP30</f>
        <v>0</v>
      </c>
      <c r="AY30" s="39" t="s">
        <v>489</v>
      </c>
      <c r="AZ30" s="39" t="s">
        <v>505</v>
      </c>
      <c r="BA30" s="35" t="s">
        <v>520</v>
      </c>
      <c r="BC30" s="36">
        <f>AW30+AX30</f>
        <v>0</v>
      </c>
      <c r="BD30" s="36">
        <f>K30/(100-BE30)*100</f>
        <v>0</v>
      </c>
      <c r="BE30" s="36">
        <v>0</v>
      </c>
      <c r="BF30" s="36">
        <f>30</f>
        <v>30</v>
      </c>
      <c r="BH30" s="26">
        <f>J30*AO30</f>
        <v>0</v>
      </c>
      <c r="BI30" s="26">
        <f>J30*AP30</f>
        <v>0</v>
      </c>
      <c r="BJ30" s="26">
        <f>J30*K30</f>
        <v>0</v>
      </c>
      <c r="BK30" s="26" t="s">
        <v>526</v>
      </c>
      <c r="BL30" s="36">
        <v>771</v>
      </c>
    </row>
    <row r="31" spans="1:64" ht="12.75">
      <c r="A31" s="5" t="s">
        <v>21</v>
      </c>
      <c r="B31" s="16" t="s">
        <v>207</v>
      </c>
      <c r="C31" s="16" t="s">
        <v>226</v>
      </c>
      <c r="D31" s="127" t="s">
        <v>345</v>
      </c>
      <c r="E31" s="128"/>
      <c r="F31" s="128"/>
      <c r="G31" s="128"/>
      <c r="H31" s="128"/>
      <c r="I31" s="16" t="s">
        <v>463</v>
      </c>
      <c r="J31" s="26">
        <v>5.5</v>
      </c>
      <c r="K31" s="26">
        <v>0</v>
      </c>
      <c r="L31" s="26">
        <f>J31*AO31</f>
        <v>0</v>
      </c>
      <c r="M31" s="26">
        <f>J31*AP31</f>
        <v>0</v>
      </c>
      <c r="N31" s="46">
        <f>J31*K31</f>
        <v>0</v>
      </c>
      <c r="O31" s="7"/>
      <c r="Z31" s="36">
        <f>IF(AQ31="5",BJ31,0)</f>
        <v>0</v>
      </c>
      <c r="AB31" s="36">
        <f>IF(AQ31="1",BH31,0)</f>
        <v>0</v>
      </c>
      <c r="AC31" s="36">
        <f>IF(AQ31="1",BI31,0)</f>
        <v>0</v>
      </c>
      <c r="AD31" s="36">
        <f>IF(AQ31="7",BH31,0)</f>
        <v>0</v>
      </c>
      <c r="AE31" s="36">
        <f>IF(AQ31="7",BI31,0)</f>
        <v>0</v>
      </c>
      <c r="AF31" s="36">
        <f>IF(AQ31="2",BH31,0)</f>
        <v>0</v>
      </c>
      <c r="AG31" s="36">
        <f>IF(AQ31="2",BI31,0)</f>
        <v>0</v>
      </c>
      <c r="AH31" s="36">
        <f>IF(AQ31="0",BJ31,0)</f>
        <v>0</v>
      </c>
      <c r="AI31" s="35" t="s">
        <v>207</v>
      </c>
      <c r="AJ31" s="26">
        <f>IF(AN31=0,N31,0)</f>
        <v>0</v>
      </c>
      <c r="AK31" s="26">
        <f>IF(AN31=15,N31,0)</f>
        <v>0</v>
      </c>
      <c r="AL31" s="26">
        <f>IF(AN31=21,N31,0)</f>
        <v>0</v>
      </c>
      <c r="AN31" s="36">
        <v>21</v>
      </c>
      <c r="AO31" s="36">
        <f>K31*0</f>
        <v>0</v>
      </c>
      <c r="AP31" s="36">
        <f>K31*(1-0)</f>
        <v>0</v>
      </c>
      <c r="AQ31" s="37" t="s">
        <v>11</v>
      </c>
      <c r="AV31" s="36">
        <f>AW31+AX31</f>
        <v>0</v>
      </c>
      <c r="AW31" s="36">
        <f>J31*AO31</f>
        <v>0</v>
      </c>
      <c r="AX31" s="36">
        <f>J31*AP31</f>
        <v>0</v>
      </c>
      <c r="AY31" s="39" t="s">
        <v>489</v>
      </c>
      <c r="AZ31" s="39" t="s">
        <v>505</v>
      </c>
      <c r="BA31" s="35" t="s">
        <v>520</v>
      </c>
      <c r="BC31" s="36">
        <f>AW31+AX31</f>
        <v>0</v>
      </c>
      <c r="BD31" s="36">
        <f>K31/(100-BE31)*100</f>
        <v>0</v>
      </c>
      <c r="BE31" s="36">
        <v>0</v>
      </c>
      <c r="BF31" s="36">
        <f>31</f>
        <v>31</v>
      </c>
      <c r="BH31" s="26">
        <f>J31*AO31</f>
        <v>0</v>
      </c>
      <c r="BI31" s="26">
        <f>J31*AP31</f>
        <v>0</v>
      </c>
      <c r="BJ31" s="26">
        <f>J31*K31</f>
        <v>0</v>
      </c>
      <c r="BK31" s="26" t="s">
        <v>526</v>
      </c>
      <c r="BL31" s="36">
        <v>771</v>
      </c>
    </row>
    <row r="32" spans="1:47" ht="12.75">
      <c r="A32" s="4"/>
      <c r="B32" s="15" t="s">
        <v>207</v>
      </c>
      <c r="C32" s="15" t="s">
        <v>69</v>
      </c>
      <c r="D32" s="129" t="s">
        <v>346</v>
      </c>
      <c r="E32" s="130"/>
      <c r="F32" s="130"/>
      <c r="G32" s="130"/>
      <c r="H32" s="130"/>
      <c r="I32" s="23" t="s">
        <v>6</v>
      </c>
      <c r="J32" s="23" t="s">
        <v>6</v>
      </c>
      <c r="K32" s="23" t="s">
        <v>6</v>
      </c>
      <c r="L32" s="42">
        <f>SUM(L33:L35)</f>
        <v>0</v>
      </c>
      <c r="M32" s="42">
        <f>SUM(M33:M35)</f>
        <v>0</v>
      </c>
      <c r="N32" s="45">
        <f>SUM(N33:N35)</f>
        <v>0</v>
      </c>
      <c r="O32" s="7"/>
      <c r="AI32" s="35" t="s">
        <v>207</v>
      </c>
      <c r="AS32" s="42">
        <f>SUM(AJ33:AJ35)</f>
        <v>0</v>
      </c>
      <c r="AT32" s="42">
        <f>SUM(AK33:AK35)</f>
        <v>0</v>
      </c>
      <c r="AU32" s="42">
        <f>SUM(AL33:AL35)</f>
        <v>0</v>
      </c>
    </row>
    <row r="33" spans="1:64" ht="12.75">
      <c r="A33" s="5" t="s">
        <v>22</v>
      </c>
      <c r="B33" s="16" t="s">
        <v>207</v>
      </c>
      <c r="C33" s="16" t="s">
        <v>227</v>
      </c>
      <c r="D33" s="127" t="s">
        <v>347</v>
      </c>
      <c r="E33" s="128"/>
      <c r="F33" s="128"/>
      <c r="G33" s="128"/>
      <c r="H33" s="128"/>
      <c r="I33" s="16" t="s">
        <v>460</v>
      </c>
      <c r="J33" s="26">
        <v>6.084</v>
      </c>
      <c r="K33" s="26">
        <v>0</v>
      </c>
      <c r="L33" s="26">
        <f>J33*AO33</f>
        <v>0</v>
      </c>
      <c r="M33" s="26">
        <f>J33*AP33</f>
        <v>0</v>
      </c>
      <c r="N33" s="46">
        <f>J33*K33</f>
        <v>0</v>
      </c>
      <c r="O33" s="7"/>
      <c r="Z33" s="36">
        <f>IF(AQ33="5",BJ33,0)</f>
        <v>0</v>
      </c>
      <c r="AB33" s="36">
        <f>IF(AQ33="1",BH33,0)</f>
        <v>0</v>
      </c>
      <c r="AC33" s="36">
        <f>IF(AQ33="1",BI33,0)</f>
        <v>0</v>
      </c>
      <c r="AD33" s="36">
        <f>IF(AQ33="7",BH33,0)</f>
        <v>0</v>
      </c>
      <c r="AE33" s="36">
        <f>IF(AQ33="7",BI33,0)</f>
        <v>0</v>
      </c>
      <c r="AF33" s="36">
        <f>IF(AQ33="2",BH33,0)</f>
        <v>0</v>
      </c>
      <c r="AG33" s="36">
        <f>IF(AQ33="2",BI33,0)</f>
        <v>0</v>
      </c>
      <c r="AH33" s="36">
        <f>IF(AQ33="0",BJ33,0)</f>
        <v>0</v>
      </c>
      <c r="AI33" s="35" t="s">
        <v>207</v>
      </c>
      <c r="AJ33" s="26">
        <f>IF(AN33=0,N33,0)</f>
        <v>0</v>
      </c>
      <c r="AK33" s="26">
        <f>IF(AN33=15,N33,0)</f>
        <v>0</v>
      </c>
      <c r="AL33" s="26">
        <f>IF(AN33=21,N33,0)</f>
        <v>0</v>
      </c>
      <c r="AN33" s="36">
        <v>21</v>
      </c>
      <c r="AO33" s="36">
        <f>K33*0</f>
        <v>0</v>
      </c>
      <c r="AP33" s="36">
        <f>K33*(1-0)</f>
        <v>0</v>
      </c>
      <c r="AQ33" s="37" t="s">
        <v>7</v>
      </c>
      <c r="AV33" s="36">
        <f>AW33+AX33</f>
        <v>0</v>
      </c>
      <c r="AW33" s="36">
        <f>J33*AO33</f>
        <v>0</v>
      </c>
      <c r="AX33" s="36">
        <f>J33*AP33</f>
        <v>0</v>
      </c>
      <c r="AY33" s="39" t="s">
        <v>490</v>
      </c>
      <c r="AZ33" s="39" t="s">
        <v>506</v>
      </c>
      <c r="BA33" s="35" t="s">
        <v>520</v>
      </c>
      <c r="BC33" s="36">
        <f>AW33+AX33</f>
        <v>0</v>
      </c>
      <c r="BD33" s="36">
        <f>K33/(100-BE33)*100</f>
        <v>0</v>
      </c>
      <c r="BE33" s="36">
        <v>0</v>
      </c>
      <c r="BF33" s="36">
        <f>33</f>
        <v>33</v>
      </c>
      <c r="BH33" s="26">
        <f>J33*AO33</f>
        <v>0</v>
      </c>
      <c r="BI33" s="26">
        <f>J33*AP33</f>
        <v>0</v>
      </c>
      <c r="BJ33" s="26">
        <f>J33*K33</f>
        <v>0</v>
      </c>
      <c r="BK33" s="26" t="s">
        <v>526</v>
      </c>
      <c r="BL33" s="36">
        <v>63</v>
      </c>
    </row>
    <row r="34" spans="1:15" ht="12.75">
      <c r="A34" s="7"/>
      <c r="C34" s="20" t="s">
        <v>205</v>
      </c>
      <c r="D34" s="135" t="s">
        <v>348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7"/>
      <c r="O34" s="7"/>
    </row>
    <row r="35" spans="1:64" ht="12.75">
      <c r="A35" s="5" t="s">
        <v>23</v>
      </c>
      <c r="B35" s="16" t="s">
        <v>207</v>
      </c>
      <c r="C35" s="16" t="s">
        <v>228</v>
      </c>
      <c r="D35" s="127" t="s">
        <v>349</v>
      </c>
      <c r="E35" s="128"/>
      <c r="F35" s="128"/>
      <c r="G35" s="128"/>
      <c r="H35" s="128"/>
      <c r="I35" s="16" t="s">
        <v>460</v>
      </c>
      <c r="J35" s="26">
        <v>6.084</v>
      </c>
      <c r="K35" s="26">
        <v>0</v>
      </c>
      <c r="L35" s="26">
        <f>J35*AO35</f>
        <v>0</v>
      </c>
      <c r="M35" s="26">
        <f>J35*AP35</f>
        <v>0</v>
      </c>
      <c r="N35" s="46">
        <f>J35*K35</f>
        <v>0</v>
      </c>
      <c r="O35" s="7"/>
      <c r="Z35" s="36">
        <f>IF(AQ35="5",BJ35,0)</f>
        <v>0</v>
      </c>
      <c r="AB35" s="36">
        <f>IF(AQ35="1",BH35,0)</f>
        <v>0</v>
      </c>
      <c r="AC35" s="36">
        <f>IF(AQ35="1",BI35,0)</f>
        <v>0</v>
      </c>
      <c r="AD35" s="36">
        <f>IF(AQ35="7",BH35,0)</f>
        <v>0</v>
      </c>
      <c r="AE35" s="36">
        <f>IF(AQ35="7",BI35,0)</f>
        <v>0</v>
      </c>
      <c r="AF35" s="36">
        <f>IF(AQ35="2",BH35,0)</f>
        <v>0</v>
      </c>
      <c r="AG35" s="36">
        <f>IF(AQ35="2",BI35,0)</f>
        <v>0</v>
      </c>
      <c r="AH35" s="36">
        <f>IF(AQ35="0",BJ35,0)</f>
        <v>0</v>
      </c>
      <c r="AI35" s="35" t="s">
        <v>207</v>
      </c>
      <c r="AJ35" s="26">
        <f>IF(AN35=0,N35,0)</f>
        <v>0</v>
      </c>
      <c r="AK35" s="26">
        <f>IF(AN35=15,N35,0)</f>
        <v>0</v>
      </c>
      <c r="AL35" s="26">
        <f>IF(AN35=21,N35,0)</f>
        <v>0</v>
      </c>
      <c r="AN35" s="36">
        <v>21</v>
      </c>
      <c r="AO35" s="36">
        <f>K35*0.522237685864018</f>
        <v>0</v>
      </c>
      <c r="AP35" s="36">
        <f>K35*(1-0.522237685864018)</f>
        <v>0</v>
      </c>
      <c r="AQ35" s="37" t="s">
        <v>7</v>
      </c>
      <c r="AV35" s="36">
        <f>AW35+AX35</f>
        <v>0</v>
      </c>
      <c r="AW35" s="36">
        <f>J35*AO35</f>
        <v>0</v>
      </c>
      <c r="AX35" s="36">
        <f>J35*AP35</f>
        <v>0</v>
      </c>
      <c r="AY35" s="39" t="s">
        <v>490</v>
      </c>
      <c r="AZ35" s="39" t="s">
        <v>506</v>
      </c>
      <c r="BA35" s="35" t="s">
        <v>520</v>
      </c>
      <c r="BC35" s="36">
        <f>AW35+AX35</f>
        <v>0</v>
      </c>
      <c r="BD35" s="36">
        <f>K35/(100-BE35)*100</f>
        <v>0</v>
      </c>
      <c r="BE35" s="36">
        <v>0</v>
      </c>
      <c r="BF35" s="36">
        <f>35</f>
        <v>35</v>
      </c>
      <c r="BH35" s="26">
        <f>J35*AO35</f>
        <v>0</v>
      </c>
      <c r="BI35" s="26">
        <f>J35*AP35</f>
        <v>0</v>
      </c>
      <c r="BJ35" s="26">
        <f>J35*K35</f>
        <v>0</v>
      </c>
      <c r="BK35" s="26" t="s">
        <v>526</v>
      </c>
      <c r="BL35" s="36">
        <v>63</v>
      </c>
    </row>
    <row r="36" spans="1:47" ht="12.75">
      <c r="A36" s="4"/>
      <c r="B36" s="15" t="s">
        <v>207</v>
      </c>
      <c r="C36" s="15" t="s">
        <v>12</v>
      </c>
      <c r="D36" s="129" t="s">
        <v>350</v>
      </c>
      <c r="E36" s="130"/>
      <c r="F36" s="130"/>
      <c r="G36" s="130"/>
      <c r="H36" s="130"/>
      <c r="I36" s="23" t="s">
        <v>6</v>
      </c>
      <c r="J36" s="23" t="s">
        <v>6</v>
      </c>
      <c r="K36" s="23" t="s">
        <v>6</v>
      </c>
      <c r="L36" s="42">
        <f>SUM(L37:L40)</f>
        <v>0</v>
      </c>
      <c r="M36" s="42">
        <f>SUM(M37:M40)</f>
        <v>0</v>
      </c>
      <c r="N36" s="45">
        <f>SUM(N37:N40)</f>
        <v>0</v>
      </c>
      <c r="O36" s="7"/>
      <c r="AI36" s="35" t="s">
        <v>207</v>
      </c>
      <c r="AS36" s="42">
        <f>SUM(AJ37:AJ40)</f>
        <v>0</v>
      </c>
      <c r="AT36" s="42">
        <f>SUM(AK37:AK40)</f>
        <v>0</v>
      </c>
      <c r="AU36" s="42">
        <f>SUM(AL37:AL40)</f>
        <v>0</v>
      </c>
    </row>
    <row r="37" spans="1:64" ht="12.75">
      <c r="A37" s="5" t="s">
        <v>24</v>
      </c>
      <c r="B37" s="16" t="s">
        <v>207</v>
      </c>
      <c r="C37" s="16" t="s">
        <v>229</v>
      </c>
      <c r="D37" s="127" t="s">
        <v>351</v>
      </c>
      <c r="E37" s="128"/>
      <c r="F37" s="128"/>
      <c r="G37" s="128"/>
      <c r="H37" s="128"/>
      <c r="I37" s="16" t="s">
        <v>461</v>
      </c>
      <c r="J37" s="26">
        <v>55</v>
      </c>
      <c r="K37" s="26">
        <v>0</v>
      </c>
      <c r="L37" s="26">
        <f>J37*AO37</f>
        <v>0</v>
      </c>
      <c r="M37" s="26">
        <f>J37*AP37</f>
        <v>0</v>
      </c>
      <c r="N37" s="46">
        <f>J37*K37</f>
        <v>0</v>
      </c>
      <c r="O37" s="7"/>
      <c r="Z37" s="36">
        <f>IF(AQ37="5",BJ37,0)</f>
        <v>0</v>
      </c>
      <c r="AB37" s="36">
        <f>IF(AQ37="1",BH37,0)</f>
        <v>0</v>
      </c>
      <c r="AC37" s="36">
        <f>IF(AQ37="1",BI37,0)</f>
        <v>0</v>
      </c>
      <c r="AD37" s="36">
        <f>IF(AQ37="7",BH37,0)</f>
        <v>0</v>
      </c>
      <c r="AE37" s="36">
        <f>IF(AQ37="7",BI37,0)</f>
        <v>0</v>
      </c>
      <c r="AF37" s="36">
        <f>IF(AQ37="2",BH37,0)</f>
        <v>0</v>
      </c>
      <c r="AG37" s="36">
        <f>IF(AQ37="2",BI37,0)</f>
        <v>0</v>
      </c>
      <c r="AH37" s="36">
        <f>IF(AQ37="0",BJ37,0)</f>
        <v>0</v>
      </c>
      <c r="AI37" s="35" t="s">
        <v>207</v>
      </c>
      <c r="AJ37" s="26">
        <f>IF(AN37=0,N37,0)</f>
        <v>0</v>
      </c>
      <c r="AK37" s="26">
        <f>IF(AN37=15,N37,0)</f>
        <v>0</v>
      </c>
      <c r="AL37" s="26">
        <f>IF(AN37=21,N37,0)</f>
        <v>0</v>
      </c>
      <c r="AN37" s="36">
        <v>21</v>
      </c>
      <c r="AO37" s="36">
        <f>K37*0.215968289920725</f>
        <v>0</v>
      </c>
      <c r="AP37" s="36">
        <f>K37*(1-0.215968289920725)</f>
        <v>0</v>
      </c>
      <c r="AQ37" s="37" t="s">
        <v>7</v>
      </c>
      <c r="AV37" s="36">
        <f>AW37+AX37</f>
        <v>0</v>
      </c>
      <c r="AW37" s="36">
        <f>J37*AO37</f>
        <v>0</v>
      </c>
      <c r="AX37" s="36">
        <f>J37*AP37</f>
        <v>0</v>
      </c>
      <c r="AY37" s="39" t="s">
        <v>491</v>
      </c>
      <c r="AZ37" s="39" t="s">
        <v>506</v>
      </c>
      <c r="BA37" s="35" t="s">
        <v>520</v>
      </c>
      <c r="BC37" s="36">
        <f>AW37+AX37</f>
        <v>0</v>
      </c>
      <c r="BD37" s="36">
        <f>K37/(100-BE37)*100</f>
        <v>0</v>
      </c>
      <c r="BE37" s="36">
        <v>0</v>
      </c>
      <c r="BF37" s="36">
        <f>37</f>
        <v>37</v>
      </c>
      <c r="BH37" s="26">
        <f>J37*AO37</f>
        <v>0</v>
      </c>
      <c r="BI37" s="26">
        <f>J37*AP37</f>
        <v>0</v>
      </c>
      <c r="BJ37" s="26">
        <f>J37*K37</f>
        <v>0</v>
      </c>
      <c r="BK37" s="26" t="s">
        <v>526</v>
      </c>
      <c r="BL37" s="36">
        <v>6</v>
      </c>
    </row>
    <row r="38" spans="1:64" ht="12.75">
      <c r="A38" s="5" t="s">
        <v>25</v>
      </c>
      <c r="B38" s="16" t="s">
        <v>207</v>
      </c>
      <c r="C38" s="16" t="s">
        <v>230</v>
      </c>
      <c r="D38" s="127" t="s">
        <v>352</v>
      </c>
      <c r="E38" s="128"/>
      <c r="F38" s="128"/>
      <c r="G38" s="128"/>
      <c r="H38" s="128"/>
      <c r="I38" s="16" t="s">
        <v>460</v>
      </c>
      <c r="J38" s="26">
        <v>81.335</v>
      </c>
      <c r="K38" s="26">
        <v>0</v>
      </c>
      <c r="L38" s="26">
        <f>J38*AO38</f>
        <v>0</v>
      </c>
      <c r="M38" s="26">
        <f>J38*AP38</f>
        <v>0</v>
      </c>
      <c r="N38" s="46">
        <f>J38*K38</f>
        <v>0</v>
      </c>
      <c r="O38" s="7"/>
      <c r="Z38" s="36">
        <f>IF(AQ38="5",BJ38,0)</f>
        <v>0</v>
      </c>
      <c r="AB38" s="36">
        <f>IF(AQ38="1",BH38,0)</f>
        <v>0</v>
      </c>
      <c r="AC38" s="36">
        <f>IF(AQ38="1",BI38,0)</f>
        <v>0</v>
      </c>
      <c r="AD38" s="36">
        <f>IF(AQ38="7",BH38,0)</f>
        <v>0</v>
      </c>
      <c r="AE38" s="36">
        <f>IF(AQ38="7",BI38,0)</f>
        <v>0</v>
      </c>
      <c r="AF38" s="36">
        <f>IF(AQ38="2",BH38,0)</f>
        <v>0</v>
      </c>
      <c r="AG38" s="36">
        <f>IF(AQ38="2",BI38,0)</f>
        <v>0</v>
      </c>
      <c r="AH38" s="36">
        <f>IF(AQ38="0",BJ38,0)</f>
        <v>0</v>
      </c>
      <c r="AI38" s="35" t="s">
        <v>207</v>
      </c>
      <c r="AJ38" s="26">
        <f>IF(AN38=0,N38,0)</f>
        <v>0</v>
      </c>
      <c r="AK38" s="26">
        <f>IF(AN38=15,N38,0)</f>
        <v>0</v>
      </c>
      <c r="AL38" s="26">
        <f>IF(AN38=21,N38,0)</f>
        <v>0</v>
      </c>
      <c r="AN38" s="36">
        <v>21</v>
      </c>
      <c r="AO38" s="36">
        <f>K38*0.158764901354831</f>
        <v>0</v>
      </c>
      <c r="AP38" s="36">
        <f>K38*(1-0.158764901354831)</f>
        <v>0</v>
      </c>
      <c r="AQ38" s="37" t="s">
        <v>7</v>
      </c>
      <c r="AV38" s="36">
        <f>AW38+AX38</f>
        <v>0</v>
      </c>
      <c r="AW38" s="36">
        <f>J38*AO38</f>
        <v>0</v>
      </c>
      <c r="AX38" s="36">
        <f>J38*AP38</f>
        <v>0</v>
      </c>
      <c r="AY38" s="39" t="s">
        <v>491</v>
      </c>
      <c r="AZ38" s="39" t="s">
        <v>506</v>
      </c>
      <c r="BA38" s="35" t="s">
        <v>520</v>
      </c>
      <c r="BC38" s="36">
        <f>AW38+AX38</f>
        <v>0</v>
      </c>
      <c r="BD38" s="36">
        <f>K38/(100-BE38)*100</f>
        <v>0</v>
      </c>
      <c r="BE38" s="36">
        <v>0</v>
      </c>
      <c r="BF38" s="36">
        <f>38</f>
        <v>38</v>
      </c>
      <c r="BH38" s="26">
        <f>J38*AO38</f>
        <v>0</v>
      </c>
      <c r="BI38" s="26">
        <f>J38*AP38</f>
        <v>0</v>
      </c>
      <c r="BJ38" s="26">
        <f>J38*K38</f>
        <v>0</v>
      </c>
      <c r="BK38" s="26" t="s">
        <v>526</v>
      </c>
      <c r="BL38" s="36">
        <v>6</v>
      </c>
    </row>
    <row r="39" spans="1:15" ht="12.75">
      <c r="A39" s="7"/>
      <c r="C39" s="20" t="s">
        <v>205</v>
      </c>
      <c r="D39" s="135" t="s">
        <v>353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7"/>
      <c r="O39" s="7"/>
    </row>
    <row r="40" spans="1:64" ht="12.75">
      <c r="A40" s="5" t="s">
        <v>26</v>
      </c>
      <c r="B40" s="16" t="s">
        <v>207</v>
      </c>
      <c r="C40" s="16" t="s">
        <v>231</v>
      </c>
      <c r="D40" s="127" t="s">
        <v>354</v>
      </c>
      <c r="E40" s="128"/>
      <c r="F40" s="128"/>
      <c r="G40" s="128"/>
      <c r="H40" s="128"/>
      <c r="I40" s="16" t="s">
        <v>461</v>
      </c>
      <c r="J40" s="26">
        <v>114.55</v>
      </c>
      <c r="K40" s="26">
        <v>0</v>
      </c>
      <c r="L40" s="26">
        <f>J40*AO40</f>
        <v>0</v>
      </c>
      <c r="M40" s="26">
        <f>J40*AP40</f>
        <v>0</v>
      </c>
      <c r="N40" s="46">
        <f>J40*K40</f>
        <v>0</v>
      </c>
      <c r="O40" s="7"/>
      <c r="Z40" s="36">
        <f>IF(AQ40="5",BJ40,0)</f>
        <v>0</v>
      </c>
      <c r="AB40" s="36">
        <f>IF(AQ40="1",BH40,0)</f>
        <v>0</v>
      </c>
      <c r="AC40" s="36">
        <f>IF(AQ40="1",BI40,0)</f>
        <v>0</v>
      </c>
      <c r="AD40" s="36">
        <f>IF(AQ40="7",BH40,0)</f>
        <v>0</v>
      </c>
      <c r="AE40" s="36">
        <f>IF(AQ40="7",BI40,0)</f>
        <v>0</v>
      </c>
      <c r="AF40" s="36">
        <f>IF(AQ40="2",BH40,0)</f>
        <v>0</v>
      </c>
      <c r="AG40" s="36">
        <f>IF(AQ40="2",BI40,0)</f>
        <v>0</v>
      </c>
      <c r="AH40" s="36">
        <f>IF(AQ40="0",BJ40,0)</f>
        <v>0</v>
      </c>
      <c r="AI40" s="35" t="s">
        <v>207</v>
      </c>
      <c r="AJ40" s="26">
        <f>IF(AN40=0,N40,0)</f>
        <v>0</v>
      </c>
      <c r="AK40" s="26">
        <f>IF(AN40=15,N40,0)</f>
        <v>0</v>
      </c>
      <c r="AL40" s="26">
        <f>IF(AN40=21,N40,0)</f>
        <v>0</v>
      </c>
      <c r="AN40" s="36">
        <v>21</v>
      </c>
      <c r="AO40" s="36">
        <f>K40*0</f>
        <v>0</v>
      </c>
      <c r="AP40" s="36">
        <f>K40*(1-0)</f>
        <v>0</v>
      </c>
      <c r="AQ40" s="37" t="s">
        <v>7</v>
      </c>
      <c r="AV40" s="36">
        <f>AW40+AX40</f>
        <v>0</v>
      </c>
      <c r="AW40" s="36">
        <f>J40*AO40</f>
        <v>0</v>
      </c>
      <c r="AX40" s="36">
        <f>J40*AP40</f>
        <v>0</v>
      </c>
      <c r="AY40" s="39" t="s">
        <v>491</v>
      </c>
      <c r="AZ40" s="39" t="s">
        <v>506</v>
      </c>
      <c r="BA40" s="35" t="s">
        <v>520</v>
      </c>
      <c r="BC40" s="36">
        <f>AW40+AX40</f>
        <v>0</v>
      </c>
      <c r="BD40" s="36">
        <f>K40/(100-BE40)*100</f>
        <v>0</v>
      </c>
      <c r="BE40" s="36">
        <v>0</v>
      </c>
      <c r="BF40" s="36">
        <f>40</f>
        <v>40</v>
      </c>
      <c r="BH40" s="26">
        <f>J40*AO40</f>
        <v>0</v>
      </c>
      <c r="BI40" s="26">
        <f>J40*AP40</f>
        <v>0</v>
      </c>
      <c r="BJ40" s="26">
        <f>J40*K40</f>
        <v>0</v>
      </c>
      <c r="BK40" s="26" t="s">
        <v>526</v>
      </c>
      <c r="BL40" s="36">
        <v>6</v>
      </c>
    </row>
    <row r="41" spans="1:47" ht="12.75">
      <c r="A41" s="4"/>
      <c r="B41" s="15" t="s">
        <v>207</v>
      </c>
      <c r="C41" s="15" t="s">
        <v>232</v>
      </c>
      <c r="D41" s="129" t="s">
        <v>355</v>
      </c>
      <c r="E41" s="130"/>
      <c r="F41" s="130"/>
      <c r="G41" s="130"/>
      <c r="H41" s="130"/>
      <c r="I41" s="23" t="s">
        <v>6</v>
      </c>
      <c r="J41" s="23" t="s">
        <v>6</v>
      </c>
      <c r="K41" s="23" t="s">
        <v>6</v>
      </c>
      <c r="L41" s="42">
        <f>SUM(L42:L52)</f>
        <v>0</v>
      </c>
      <c r="M41" s="42">
        <f>SUM(M42:M52)</f>
        <v>0</v>
      </c>
      <c r="N41" s="45">
        <f>SUM(N42:N52)</f>
        <v>0</v>
      </c>
      <c r="O41" s="7"/>
      <c r="AI41" s="35" t="s">
        <v>207</v>
      </c>
      <c r="AS41" s="42">
        <f>SUM(AJ42:AJ52)</f>
        <v>0</v>
      </c>
      <c r="AT41" s="42">
        <f>SUM(AK42:AK52)</f>
        <v>0</v>
      </c>
      <c r="AU41" s="42">
        <f>SUM(AL42:AL52)</f>
        <v>0</v>
      </c>
    </row>
    <row r="42" spans="1:64" ht="12.75">
      <c r="A42" s="5" t="s">
        <v>27</v>
      </c>
      <c r="B42" s="16" t="s">
        <v>207</v>
      </c>
      <c r="C42" s="16" t="s">
        <v>233</v>
      </c>
      <c r="D42" s="127" t="s">
        <v>356</v>
      </c>
      <c r="E42" s="128"/>
      <c r="F42" s="128"/>
      <c r="G42" s="128"/>
      <c r="H42" s="128"/>
      <c r="I42" s="16" t="s">
        <v>461</v>
      </c>
      <c r="J42" s="26">
        <v>9</v>
      </c>
      <c r="K42" s="26">
        <v>0</v>
      </c>
      <c r="L42" s="26">
        <f aca="true" t="shared" si="22" ref="L42:L52">J42*AO42</f>
        <v>0</v>
      </c>
      <c r="M42" s="26">
        <f aca="true" t="shared" si="23" ref="M42:M52">J42*AP42</f>
        <v>0</v>
      </c>
      <c r="N42" s="46">
        <f aca="true" t="shared" si="24" ref="N42:N52">J42*K42</f>
        <v>0</v>
      </c>
      <c r="O42" s="7"/>
      <c r="Z42" s="36">
        <f aca="true" t="shared" si="25" ref="Z42:Z52">IF(AQ42="5",BJ42,0)</f>
        <v>0</v>
      </c>
      <c r="AB42" s="36">
        <f aca="true" t="shared" si="26" ref="AB42:AB52">IF(AQ42="1",BH42,0)</f>
        <v>0</v>
      </c>
      <c r="AC42" s="36">
        <f aca="true" t="shared" si="27" ref="AC42:AC52">IF(AQ42="1",BI42,0)</f>
        <v>0</v>
      </c>
      <c r="AD42" s="36">
        <f aca="true" t="shared" si="28" ref="AD42:AD52">IF(AQ42="7",BH42,0)</f>
        <v>0</v>
      </c>
      <c r="AE42" s="36">
        <f aca="true" t="shared" si="29" ref="AE42:AE52">IF(AQ42="7",BI42,0)</f>
        <v>0</v>
      </c>
      <c r="AF42" s="36">
        <f aca="true" t="shared" si="30" ref="AF42:AF52">IF(AQ42="2",BH42,0)</f>
        <v>0</v>
      </c>
      <c r="AG42" s="36">
        <f aca="true" t="shared" si="31" ref="AG42:AG52">IF(AQ42="2",BI42,0)</f>
        <v>0</v>
      </c>
      <c r="AH42" s="36">
        <f aca="true" t="shared" si="32" ref="AH42:AH52">IF(AQ42="0",BJ42,0)</f>
        <v>0</v>
      </c>
      <c r="AI42" s="35" t="s">
        <v>207</v>
      </c>
      <c r="AJ42" s="26">
        <f aca="true" t="shared" si="33" ref="AJ42:AJ52">IF(AN42=0,N42,0)</f>
        <v>0</v>
      </c>
      <c r="AK42" s="26">
        <f aca="true" t="shared" si="34" ref="AK42:AK52">IF(AN42=15,N42,0)</f>
        <v>0</v>
      </c>
      <c r="AL42" s="26">
        <f aca="true" t="shared" si="35" ref="AL42:AL52">IF(AN42=21,N42,0)</f>
        <v>0</v>
      </c>
      <c r="AN42" s="36">
        <v>21</v>
      </c>
      <c r="AO42" s="36">
        <f>K42*0.3605949517337</f>
        <v>0</v>
      </c>
      <c r="AP42" s="36">
        <f>K42*(1-0.3605949517337)</f>
        <v>0</v>
      </c>
      <c r="AQ42" s="37" t="s">
        <v>13</v>
      </c>
      <c r="AV42" s="36">
        <f aca="true" t="shared" si="36" ref="AV42:AV52">AW42+AX42</f>
        <v>0</v>
      </c>
      <c r="AW42" s="36">
        <f aca="true" t="shared" si="37" ref="AW42:AW52">J42*AO42</f>
        <v>0</v>
      </c>
      <c r="AX42" s="36">
        <f aca="true" t="shared" si="38" ref="AX42:AX52">J42*AP42</f>
        <v>0</v>
      </c>
      <c r="AY42" s="39" t="s">
        <v>492</v>
      </c>
      <c r="AZ42" s="39" t="s">
        <v>507</v>
      </c>
      <c r="BA42" s="35" t="s">
        <v>520</v>
      </c>
      <c r="BC42" s="36">
        <f aca="true" t="shared" si="39" ref="BC42:BC52">AW42+AX42</f>
        <v>0</v>
      </c>
      <c r="BD42" s="36">
        <f aca="true" t="shared" si="40" ref="BD42:BD52">K42/(100-BE42)*100</f>
        <v>0</v>
      </c>
      <c r="BE42" s="36">
        <v>0</v>
      </c>
      <c r="BF42" s="36">
        <f>42</f>
        <v>42</v>
      </c>
      <c r="BH42" s="26">
        <f aca="true" t="shared" si="41" ref="BH42:BH52">J42*AO42</f>
        <v>0</v>
      </c>
      <c r="BI42" s="26">
        <f aca="true" t="shared" si="42" ref="BI42:BI52">J42*AP42</f>
        <v>0</v>
      </c>
      <c r="BJ42" s="26">
        <f aca="true" t="shared" si="43" ref="BJ42:BJ52">J42*K42</f>
        <v>0</v>
      </c>
      <c r="BK42" s="26" t="s">
        <v>526</v>
      </c>
      <c r="BL42" s="36">
        <v>721</v>
      </c>
    </row>
    <row r="43" spans="1:64" ht="12.75">
      <c r="A43" s="5" t="s">
        <v>28</v>
      </c>
      <c r="B43" s="16" t="s">
        <v>207</v>
      </c>
      <c r="C43" s="16" t="s">
        <v>234</v>
      </c>
      <c r="D43" s="127" t="s">
        <v>357</v>
      </c>
      <c r="E43" s="128"/>
      <c r="F43" s="128"/>
      <c r="G43" s="128"/>
      <c r="H43" s="128"/>
      <c r="I43" s="16" t="s">
        <v>461</v>
      </c>
      <c r="J43" s="26">
        <v>15</v>
      </c>
      <c r="K43" s="26">
        <v>0</v>
      </c>
      <c r="L43" s="26">
        <f t="shared" si="22"/>
        <v>0</v>
      </c>
      <c r="M43" s="26">
        <f t="shared" si="23"/>
        <v>0</v>
      </c>
      <c r="N43" s="46">
        <f t="shared" si="24"/>
        <v>0</v>
      </c>
      <c r="O43" s="7"/>
      <c r="Z43" s="36">
        <f t="shared" si="25"/>
        <v>0</v>
      </c>
      <c r="AB43" s="36">
        <f t="shared" si="26"/>
        <v>0</v>
      </c>
      <c r="AC43" s="36">
        <f t="shared" si="27"/>
        <v>0</v>
      </c>
      <c r="AD43" s="36">
        <f t="shared" si="28"/>
        <v>0</v>
      </c>
      <c r="AE43" s="36">
        <f t="shared" si="29"/>
        <v>0</v>
      </c>
      <c r="AF43" s="36">
        <f t="shared" si="30"/>
        <v>0</v>
      </c>
      <c r="AG43" s="36">
        <f t="shared" si="31"/>
        <v>0</v>
      </c>
      <c r="AH43" s="36">
        <f t="shared" si="32"/>
        <v>0</v>
      </c>
      <c r="AI43" s="35" t="s">
        <v>207</v>
      </c>
      <c r="AJ43" s="26">
        <f t="shared" si="33"/>
        <v>0</v>
      </c>
      <c r="AK43" s="26">
        <f t="shared" si="34"/>
        <v>0</v>
      </c>
      <c r="AL43" s="26">
        <f t="shared" si="35"/>
        <v>0</v>
      </c>
      <c r="AN43" s="36">
        <v>21</v>
      </c>
      <c r="AO43" s="36">
        <f>K43*0.378966666666667</f>
        <v>0</v>
      </c>
      <c r="AP43" s="36">
        <f>K43*(1-0.378966666666667)</f>
        <v>0</v>
      </c>
      <c r="AQ43" s="37" t="s">
        <v>13</v>
      </c>
      <c r="AV43" s="36">
        <f t="shared" si="36"/>
        <v>0</v>
      </c>
      <c r="AW43" s="36">
        <f t="shared" si="37"/>
        <v>0</v>
      </c>
      <c r="AX43" s="36">
        <f t="shared" si="38"/>
        <v>0</v>
      </c>
      <c r="AY43" s="39" t="s">
        <v>492</v>
      </c>
      <c r="AZ43" s="39" t="s">
        <v>507</v>
      </c>
      <c r="BA43" s="35" t="s">
        <v>520</v>
      </c>
      <c r="BC43" s="36">
        <f t="shared" si="39"/>
        <v>0</v>
      </c>
      <c r="BD43" s="36">
        <f t="shared" si="40"/>
        <v>0</v>
      </c>
      <c r="BE43" s="36">
        <v>0</v>
      </c>
      <c r="BF43" s="36">
        <f>43</f>
        <v>43</v>
      </c>
      <c r="BH43" s="26">
        <f t="shared" si="41"/>
        <v>0</v>
      </c>
      <c r="BI43" s="26">
        <f t="shared" si="42"/>
        <v>0</v>
      </c>
      <c r="BJ43" s="26">
        <f t="shared" si="43"/>
        <v>0</v>
      </c>
      <c r="BK43" s="26" t="s">
        <v>526</v>
      </c>
      <c r="BL43" s="36">
        <v>721</v>
      </c>
    </row>
    <row r="44" spans="1:64" ht="12.75">
      <c r="A44" s="5" t="s">
        <v>29</v>
      </c>
      <c r="B44" s="16" t="s">
        <v>207</v>
      </c>
      <c r="C44" s="16" t="s">
        <v>235</v>
      </c>
      <c r="D44" s="127" t="s">
        <v>358</v>
      </c>
      <c r="E44" s="128"/>
      <c r="F44" s="128"/>
      <c r="G44" s="128"/>
      <c r="H44" s="128"/>
      <c r="I44" s="16" t="s">
        <v>462</v>
      </c>
      <c r="J44" s="26">
        <v>4</v>
      </c>
      <c r="K44" s="26">
        <v>0</v>
      </c>
      <c r="L44" s="26">
        <f t="shared" si="22"/>
        <v>0</v>
      </c>
      <c r="M44" s="26">
        <f t="shared" si="23"/>
        <v>0</v>
      </c>
      <c r="N44" s="46">
        <f t="shared" si="24"/>
        <v>0</v>
      </c>
      <c r="O44" s="7"/>
      <c r="Z44" s="36">
        <f t="shared" si="25"/>
        <v>0</v>
      </c>
      <c r="AB44" s="36">
        <f t="shared" si="26"/>
        <v>0</v>
      </c>
      <c r="AC44" s="36">
        <f t="shared" si="27"/>
        <v>0</v>
      </c>
      <c r="AD44" s="36">
        <f t="shared" si="28"/>
        <v>0</v>
      </c>
      <c r="AE44" s="36">
        <f t="shared" si="29"/>
        <v>0</v>
      </c>
      <c r="AF44" s="36">
        <f t="shared" si="30"/>
        <v>0</v>
      </c>
      <c r="AG44" s="36">
        <f t="shared" si="31"/>
        <v>0</v>
      </c>
      <c r="AH44" s="36">
        <f t="shared" si="32"/>
        <v>0</v>
      </c>
      <c r="AI44" s="35" t="s">
        <v>207</v>
      </c>
      <c r="AJ44" s="26">
        <f t="shared" si="33"/>
        <v>0</v>
      </c>
      <c r="AK44" s="26">
        <f t="shared" si="34"/>
        <v>0</v>
      </c>
      <c r="AL44" s="26">
        <f t="shared" si="35"/>
        <v>0</v>
      </c>
      <c r="AN44" s="36">
        <v>21</v>
      </c>
      <c r="AO44" s="36">
        <f>K44*0</f>
        <v>0</v>
      </c>
      <c r="AP44" s="36">
        <f>K44*(1-0)</f>
        <v>0</v>
      </c>
      <c r="AQ44" s="37" t="s">
        <v>13</v>
      </c>
      <c r="AV44" s="36">
        <f t="shared" si="36"/>
        <v>0</v>
      </c>
      <c r="AW44" s="36">
        <f t="shared" si="37"/>
        <v>0</v>
      </c>
      <c r="AX44" s="36">
        <f t="shared" si="38"/>
        <v>0</v>
      </c>
      <c r="AY44" s="39" t="s">
        <v>492</v>
      </c>
      <c r="AZ44" s="39" t="s">
        <v>507</v>
      </c>
      <c r="BA44" s="35" t="s">
        <v>520</v>
      </c>
      <c r="BC44" s="36">
        <f t="shared" si="39"/>
        <v>0</v>
      </c>
      <c r="BD44" s="36">
        <f t="shared" si="40"/>
        <v>0</v>
      </c>
      <c r="BE44" s="36">
        <v>0</v>
      </c>
      <c r="BF44" s="36">
        <f>44</f>
        <v>44</v>
      </c>
      <c r="BH44" s="26">
        <f t="shared" si="41"/>
        <v>0</v>
      </c>
      <c r="BI44" s="26">
        <f t="shared" si="42"/>
        <v>0</v>
      </c>
      <c r="BJ44" s="26">
        <f t="shared" si="43"/>
        <v>0</v>
      </c>
      <c r="BK44" s="26" t="s">
        <v>526</v>
      </c>
      <c r="BL44" s="36">
        <v>721</v>
      </c>
    </row>
    <row r="45" spans="1:64" ht="12.75">
      <c r="A45" s="5" t="s">
        <v>30</v>
      </c>
      <c r="B45" s="16" t="s">
        <v>207</v>
      </c>
      <c r="C45" s="16" t="s">
        <v>236</v>
      </c>
      <c r="D45" s="127" t="s">
        <v>359</v>
      </c>
      <c r="E45" s="128"/>
      <c r="F45" s="128"/>
      <c r="G45" s="128"/>
      <c r="H45" s="128"/>
      <c r="I45" s="16" t="s">
        <v>462</v>
      </c>
      <c r="J45" s="26">
        <v>8</v>
      </c>
      <c r="K45" s="26">
        <v>0</v>
      </c>
      <c r="L45" s="26">
        <f t="shared" si="22"/>
        <v>0</v>
      </c>
      <c r="M45" s="26">
        <f t="shared" si="23"/>
        <v>0</v>
      </c>
      <c r="N45" s="46">
        <f t="shared" si="24"/>
        <v>0</v>
      </c>
      <c r="O45" s="7"/>
      <c r="Z45" s="36">
        <f t="shared" si="25"/>
        <v>0</v>
      </c>
      <c r="AB45" s="36">
        <f t="shared" si="26"/>
        <v>0</v>
      </c>
      <c r="AC45" s="36">
        <f t="shared" si="27"/>
        <v>0</v>
      </c>
      <c r="AD45" s="36">
        <f t="shared" si="28"/>
        <v>0</v>
      </c>
      <c r="AE45" s="36">
        <f t="shared" si="29"/>
        <v>0</v>
      </c>
      <c r="AF45" s="36">
        <f t="shared" si="30"/>
        <v>0</v>
      </c>
      <c r="AG45" s="36">
        <f t="shared" si="31"/>
        <v>0</v>
      </c>
      <c r="AH45" s="36">
        <f t="shared" si="32"/>
        <v>0</v>
      </c>
      <c r="AI45" s="35" t="s">
        <v>207</v>
      </c>
      <c r="AJ45" s="26">
        <f t="shared" si="33"/>
        <v>0</v>
      </c>
      <c r="AK45" s="26">
        <f t="shared" si="34"/>
        <v>0</v>
      </c>
      <c r="AL45" s="26">
        <f t="shared" si="35"/>
        <v>0</v>
      </c>
      <c r="AN45" s="36">
        <v>21</v>
      </c>
      <c r="AO45" s="36">
        <f>K45*0</f>
        <v>0</v>
      </c>
      <c r="AP45" s="36">
        <f>K45*(1-0)</f>
        <v>0</v>
      </c>
      <c r="AQ45" s="37" t="s">
        <v>13</v>
      </c>
      <c r="AV45" s="36">
        <f t="shared" si="36"/>
        <v>0</v>
      </c>
      <c r="AW45" s="36">
        <f t="shared" si="37"/>
        <v>0</v>
      </c>
      <c r="AX45" s="36">
        <f t="shared" si="38"/>
        <v>0</v>
      </c>
      <c r="AY45" s="39" t="s">
        <v>492</v>
      </c>
      <c r="AZ45" s="39" t="s">
        <v>507</v>
      </c>
      <c r="BA45" s="35" t="s">
        <v>520</v>
      </c>
      <c r="BC45" s="36">
        <f t="shared" si="39"/>
        <v>0</v>
      </c>
      <c r="BD45" s="36">
        <f t="shared" si="40"/>
        <v>0</v>
      </c>
      <c r="BE45" s="36">
        <v>0</v>
      </c>
      <c r="BF45" s="36">
        <f>45</f>
        <v>45</v>
      </c>
      <c r="BH45" s="26">
        <f t="shared" si="41"/>
        <v>0</v>
      </c>
      <c r="BI45" s="26">
        <f t="shared" si="42"/>
        <v>0</v>
      </c>
      <c r="BJ45" s="26">
        <f t="shared" si="43"/>
        <v>0</v>
      </c>
      <c r="BK45" s="26" t="s">
        <v>526</v>
      </c>
      <c r="BL45" s="36">
        <v>721</v>
      </c>
    </row>
    <row r="46" spans="1:64" ht="12.75">
      <c r="A46" s="5" t="s">
        <v>31</v>
      </c>
      <c r="B46" s="16" t="s">
        <v>207</v>
      </c>
      <c r="C46" s="16" t="s">
        <v>237</v>
      </c>
      <c r="D46" s="127" t="s">
        <v>360</v>
      </c>
      <c r="E46" s="128"/>
      <c r="F46" s="128"/>
      <c r="G46" s="128"/>
      <c r="H46" s="128"/>
      <c r="I46" s="16" t="s">
        <v>462</v>
      </c>
      <c r="J46" s="26">
        <v>2</v>
      </c>
      <c r="K46" s="26">
        <v>0</v>
      </c>
      <c r="L46" s="26">
        <f t="shared" si="22"/>
        <v>0</v>
      </c>
      <c r="M46" s="26">
        <f t="shared" si="23"/>
        <v>0</v>
      </c>
      <c r="N46" s="46">
        <f t="shared" si="24"/>
        <v>0</v>
      </c>
      <c r="O46" s="7"/>
      <c r="Z46" s="36">
        <f t="shared" si="25"/>
        <v>0</v>
      </c>
      <c r="AB46" s="36">
        <f t="shared" si="26"/>
        <v>0</v>
      </c>
      <c r="AC46" s="36">
        <f t="shared" si="27"/>
        <v>0</v>
      </c>
      <c r="AD46" s="36">
        <f t="shared" si="28"/>
        <v>0</v>
      </c>
      <c r="AE46" s="36">
        <f t="shared" si="29"/>
        <v>0</v>
      </c>
      <c r="AF46" s="36">
        <f t="shared" si="30"/>
        <v>0</v>
      </c>
      <c r="AG46" s="36">
        <f t="shared" si="31"/>
        <v>0</v>
      </c>
      <c r="AH46" s="36">
        <f t="shared" si="32"/>
        <v>0</v>
      </c>
      <c r="AI46" s="35" t="s">
        <v>207</v>
      </c>
      <c r="AJ46" s="26">
        <f t="shared" si="33"/>
        <v>0</v>
      </c>
      <c r="AK46" s="26">
        <f t="shared" si="34"/>
        <v>0</v>
      </c>
      <c r="AL46" s="26">
        <f t="shared" si="35"/>
        <v>0</v>
      </c>
      <c r="AN46" s="36">
        <v>21</v>
      </c>
      <c r="AO46" s="36">
        <f>K46*0.230150468439481</f>
        <v>0</v>
      </c>
      <c r="AP46" s="36">
        <f>K46*(1-0.230150468439481)</f>
        <v>0</v>
      </c>
      <c r="AQ46" s="37" t="s">
        <v>13</v>
      </c>
      <c r="AV46" s="36">
        <f t="shared" si="36"/>
        <v>0</v>
      </c>
      <c r="AW46" s="36">
        <f t="shared" si="37"/>
        <v>0</v>
      </c>
      <c r="AX46" s="36">
        <f t="shared" si="38"/>
        <v>0</v>
      </c>
      <c r="AY46" s="39" t="s">
        <v>492</v>
      </c>
      <c r="AZ46" s="39" t="s">
        <v>507</v>
      </c>
      <c r="BA46" s="35" t="s">
        <v>520</v>
      </c>
      <c r="BC46" s="36">
        <f t="shared" si="39"/>
        <v>0</v>
      </c>
      <c r="BD46" s="36">
        <f t="shared" si="40"/>
        <v>0</v>
      </c>
      <c r="BE46" s="36">
        <v>0</v>
      </c>
      <c r="BF46" s="36">
        <f>46</f>
        <v>46</v>
      </c>
      <c r="BH46" s="26">
        <f t="shared" si="41"/>
        <v>0</v>
      </c>
      <c r="BI46" s="26">
        <f t="shared" si="42"/>
        <v>0</v>
      </c>
      <c r="BJ46" s="26">
        <f t="shared" si="43"/>
        <v>0</v>
      </c>
      <c r="BK46" s="26" t="s">
        <v>526</v>
      </c>
      <c r="BL46" s="36">
        <v>721</v>
      </c>
    </row>
    <row r="47" spans="1:64" ht="12.75">
      <c r="A47" s="5" t="s">
        <v>32</v>
      </c>
      <c r="B47" s="16" t="s">
        <v>207</v>
      </c>
      <c r="C47" s="16" t="s">
        <v>238</v>
      </c>
      <c r="D47" s="127" t="s">
        <v>361</v>
      </c>
      <c r="E47" s="128"/>
      <c r="F47" s="128"/>
      <c r="G47" s="128"/>
      <c r="H47" s="128"/>
      <c r="I47" s="16" t="s">
        <v>462</v>
      </c>
      <c r="J47" s="26">
        <v>2</v>
      </c>
      <c r="K47" s="26">
        <v>0</v>
      </c>
      <c r="L47" s="26">
        <f t="shared" si="22"/>
        <v>0</v>
      </c>
      <c r="M47" s="26">
        <f t="shared" si="23"/>
        <v>0</v>
      </c>
      <c r="N47" s="46">
        <f t="shared" si="24"/>
        <v>0</v>
      </c>
      <c r="O47" s="7"/>
      <c r="Z47" s="36">
        <f t="shared" si="25"/>
        <v>0</v>
      </c>
      <c r="AB47" s="36">
        <f t="shared" si="26"/>
        <v>0</v>
      </c>
      <c r="AC47" s="36">
        <f t="shared" si="27"/>
        <v>0</v>
      </c>
      <c r="AD47" s="36">
        <f t="shared" si="28"/>
        <v>0</v>
      </c>
      <c r="AE47" s="36">
        <f t="shared" si="29"/>
        <v>0</v>
      </c>
      <c r="AF47" s="36">
        <f t="shared" si="30"/>
        <v>0</v>
      </c>
      <c r="AG47" s="36">
        <f t="shared" si="31"/>
        <v>0</v>
      </c>
      <c r="AH47" s="36">
        <f t="shared" si="32"/>
        <v>0</v>
      </c>
      <c r="AI47" s="35" t="s">
        <v>207</v>
      </c>
      <c r="AJ47" s="26">
        <f t="shared" si="33"/>
        <v>0</v>
      </c>
      <c r="AK47" s="26">
        <f t="shared" si="34"/>
        <v>0</v>
      </c>
      <c r="AL47" s="26">
        <f t="shared" si="35"/>
        <v>0</v>
      </c>
      <c r="AN47" s="36">
        <v>21</v>
      </c>
      <c r="AO47" s="36">
        <f>K47*0.196013824884793</f>
        <v>0</v>
      </c>
      <c r="AP47" s="36">
        <f>K47*(1-0.196013824884793)</f>
        <v>0</v>
      </c>
      <c r="AQ47" s="37" t="s">
        <v>13</v>
      </c>
      <c r="AV47" s="36">
        <f t="shared" si="36"/>
        <v>0</v>
      </c>
      <c r="AW47" s="36">
        <f t="shared" si="37"/>
        <v>0</v>
      </c>
      <c r="AX47" s="36">
        <f t="shared" si="38"/>
        <v>0</v>
      </c>
      <c r="AY47" s="39" t="s">
        <v>492</v>
      </c>
      <c r="AZ47" s="39" t="s">
        <v>507</v>
      </c>
      <c r="BA47" s="35" t="s">
        <v>520</v>
      </c>
      <c r="BC47" s="36">
        <f t="shared" si="39"/>
        <v>0</v>
      </c>
      <c r="BD47" s="36">
        <f t="shared" si="40"/>
        <v>0</v>
      </c>
      <c r="BE47" s="36">
        <v>0</v>
      </c>
      <c r="BF47" s="36">
        <f>47</f>
        <v>47</v>
      </c>
      <c r="BH47" s="26">
        <f t="shared" si="41"/>
        <v>0</v>
      </c>
      <c r="BI47" s="26">
        <f t="shared" si="42"/>
        <v>0</v>
      </c>
      <c r="BJ47" s="26">
        <f t="shared" si="43"/>
        <v>0</v>
      </c>
      <c r="BK47" s="26" t="s">
        <v>526</v>
      </c>
      <c r="BL47" s="36">
        <v>721</v>
      </c>
    </row>
    <row r="48" spans="1:64" ht="12.75">
      <c r="A48" s="5" t="s">
        <v>33</v>
      </c>
      <c r="B48" s="16" t="s">
        <v>207</v>
      </c>
      <c r="C48" s="16" t="s">
        <v>239</v>
      </c>
      <c r="D48" s="127" t="s">
        <v>362</v>
      </c>
      <c r="E48" s="128"/>
      <c r="F48" s="128"/>
      <c r="G48" s="128"/>
      <c r="H48" s="128"/>
      <c r="I48" s="16" t="s">
        <v>461</v>
      </c>
      <c r="J48" s="26">
        <v>24</v>
      </c>
      <c r="K48" s="26">
        <v>0</v>
      </c>
      <c r="L48" s="26">
        <f t="shared" si="22"/>
        <v>0</v>
      </c>
      <c r="M48" s="26">
        <f t="shared" si="23"/>
        <v>0</v>
      </c>
      <c r="N48" s="46">
        <f t="shared" si="24"/>
        <v>0</v>
      </c>
      <c r="O48" s="7"/>
      <c r="Z48" s="36">
        <f t="shared" si="25"/>
        <v>0</v>
      </c>
      <c r="AB48" s="36">
        <f t="shared" si="26"/>
        <v>0</v>
      </c>
      <c r="AC48" s="36">
        <f t="shared" si="27"/>
        <v>0</v>
      </c>
      <c r="AD48" s="36">
        <f t="shared" si="28"/>
        <v>0</v>
      </c>
      <c r="AE48" s="36">
        <f t="shared" si="29"/>
        <v>0</v>
      </c>
      <c r="AF48" s="36">
        <f t="shared" si="30"/>
        <v>0</v>
      </c>
      <c r="AG48" s="36">
        <f t="shared" si="31"/>
        <v>0</v>
      </c>
      <c r="AH48" s="36">
        <f t="shared" si="32"/>
        <v>0</v>
      </c>
      <c r="AI48" s="35" t="s">
        <v>207</v>
      </c>
      <c r="AJ48" s="26">
        <f t="shared" si="33"/>
        <v>0</v>
      </c>
      <c r="AK48" s="26">
        <f t="shared" si="34"/>
        <v>0</v>
      </c>
      <c r="AL48" s="26">
        <f t="shared" si="35"/>
        <v>0</v>
      </c>
      <c r="AN48" s="36">
        <v>21</v>
      </c>
      <c r="AO48" s="36">
        <f>K48*0</f>
        <v>0</v>
      </c>
      <c r="AP48" s="36">
        <f>K48*(1-0)</f>
        <v>0</v>
      </c>
      <c r="AQ48" s="37" t="s">
        <v>13</v>
      </c>
      <c r="AV48" s="36">
        <f t="shared" si="36"/>
        <v>0</v>
      </c>
      <c r="AW48" s="36">
        <f t="shared" si="37"/>
        <v>0</v>
      </c>
      <c r="AX48" s="36">
        <f t="shared" si="38"/>
        <v>0</v>
      </c>
      <c r="AY48" s="39" t="s">
        <v>492</v>
      </c>
      <c r="AZ48" s="39" t="s">
        <v>507</v>
      </c>
      <c r="BA48" s="35" t="s">
        <v>520</v>
      </c>
      <c r="BC48" s="36">
        <f t="shared" si="39"/>
        <v>0</v>
      </c>
      <c r="BD48" s="36">
        <f t="shared" si="40"/>
        <v>0</v>
      </c>
      <c r="BE48" s="36">
        <v>0</v>
      </c>
      <c r="BF48" s="36">
        <f>48</f>
        <v>48</v>
      </c>
      <c r="BH48" s="26">
        <f t="shared" si="41"/>
        <v>0</v>
      </c>
      <c r="BI48" s="26">
        <f t="shared" si="42"/>
        <v>0</v>
      </c>
      <c r="BJ48" s="26">
        <f t="shared" si="43"/>
        <v>0</v>
      </c>
      <c r="BK48" s="26" t="s">
        <v>526</v>
      </c>
      <c r="BL48" s="36">
        <v>721</v>
      </c>
    </row>
    <row r="49" spans="1:64" ht="12.75">
      <c r="A49" s="6" t="s">
        <v>34</v>
      </c>
      <c r="B49" s="17" t="s">
        <v>207</v>
      </c>
      <c r="C49" s="17" t="s">
        <v>240</v>
      </c>
      <c r="D49" s="133" t="s">
        <v>363</v>
      </c>
      <c r="E49" s="134"/>
      <c r="F49" s="134"/>
      <c r="G49" s="134"/>
      <c r="H49" s="134"/>
      <c r="I49" s="17" t="s">
        <v>462</v>
      </c>
      <c r="J49" s="27">
        <v>1</v>
      </c>
      <c r="K49" s="27">
        <v>0</v>
      </c>
      <c r="L49" s="27">
        <f t="shared" si="22"/>
        <v>0</v>
      </c>
      <c r="M49" s="27">
        <f t="shared" si="23"/>
        <v>0</v>
      </c>
      <c r="N49" s="47">
        <f t="shared" si="24"/>
        <v>0</v>
      </c>
      <c r="O49" s="7"/>
      <c r="Z49" s="36">
        <f t="shared" si="25"/>
        <v>0</v>
      </c>
      <c r="AB49" s="36">
        <f t="shared" si="26"/>
        <v>0</v>
      </c>
      <c r="AC49" s="36">
        <f t="shared" si="27"/>
        <v>0</v>
      </c>
      <c r="AD49" s="36">
        <f t="shared" si="28"/>
        <v>0</v>
      </c>
      <c r="AE49" s="36">
        <f t="shared" si="29"/>
        <v>0</v>
      </c>
      <c r="AF49" s="36">
        <f t="shared" si="30"/>
        <v>0</v>
      </c>
      <c r="AG49" s="36">
        <f t="shared" si="31"/>
        <v>0</v>
      </c>
      <c r="AH49" s="36">
        <f t="shared" si="32"/>
        <v>0</v>
      </c>
      <c r="AI49" s="35" t="s">
        <v>207</v>
      </c>
      <c r="AJ49" s="27">
        <f t="shared" si="33"/>
        <v>0</v>
      </c>
      <c r="AK49" s="27">
        <f t="shared" si="34"/>
        <v>0</v>
      </c>
      <c r="AL49" s="27">
        <f t="shared" si="35"/>
        <v>0</v>
      </c>
      <c r="AN49" s="36">
        <v>21</v>
      </c>
      <c r="AO49" s="36">
        <f>K49*1</f>
        <v>0</v>
      </c>
      <c r="AP49" s="36">
        <f>K49*(1-1)</f>
        <v>0</v>
      </c>
      <c r="AQ49" s="38" t="s">
        <v>13</v>
      </c>
      <c r="AV49" s="36">
        <f t="shared" si="36"/>
        <v>0</v>
      </c>
      <c r="AW49" s="36">
        <f t="shared" si="37"/>
        <v>0</v>
      </c>
      <c r="AX49" s="36">
        <f t="shared" si="38"/>
        <v>0</v>
      </c>
      <c r="AY49" s="39" t="s">
        <v>492</v>
      </c>
      <c r="AZ49" s="39" t="s">
        <v>507</v>
      </c>
      <c r="BA49" s="35" t="s">
        <v>520</v>
      </c>
      <c r="BC49" s="36">
        <f t="shared" si="39"/>
        <v>0</v>
      </c>
      <c r="BD49" s="36">
        <f t="shared" si="40"/>
        <v>0</v>
      </c>
      <c r="BE49" s="36">
        <v>0</v>
      </c>
      <c r="BF49" s="36">
        <f>49</f>
        <v>49</v>
      </c>
      <c r="BH49" s="27">
        <f t="shared" si="41"/>
        <v>0</v>
      </c>
      <c r="BI49" s="27">
        <f t="shared" si="42"/>
        <v>0</v>
      </c>
      <c r="BJ49" s="27">
        <f t="shared" si="43"/>
        <v>0</v>
      </c>
      <c r="BK49" s="27" t="s">
        <v>527</v>
      </c>
      <c r="BL49" s="36">
        <v>721</v>
      </c>
    </row>
    <row r="50" spans="1:64" ht="12.75">
      <c r="A50" s="5" t="s">
        <v>35</v>
      </c>
      <c r="B50" s="16" t="s">
        <v>207</v>
      </c>
      <c r="C50" s="16" t="s">
        <v>241</v>
      </c>
      <c r="D50" s="127" t="s">
        <v>364</v>
      </c>
      <c r="E50" s="128"/>
      <c r="F50" s="128"/>
      <c r="G50" s="128"/>
      <c r="H50" s="128"/>
      <c r="I50" s="16" t="s">
        <v>462</v>
      </c>
      <c r="J50" s="26">
        <v>1</v>
      </c>
      <c r="K50" s="26">
        <v>0</v>
      </c>
      <c r="L50" s="26">
        <f t="shared" si="22"/>
        <v>0</v>
      </c>
      <c r="M50" s="26">
        <f t="shared" si="23"/>
        <v>0</v>
      </c>
      <c r="N50" s="46">
        <f t="shared" si="24"/>
        <v>0</v>
      </c>
      <c r="O50" s="7"/>
      <c r="Z50" s="36">
        <f t="shared" si="25"/>
        <v>0</v>
      </c>
      <c r="AB50" s="36">
        <f t="shared" si="26"/>
        <v>0</v>
      </c>
      <c r="AC50" s="36">
        <f t="shared" si="27"/>
        <v>0</v>
      </c>
      <c r="AD50" s="36">
        <f t="shared" si="28"/>
        <v>0</v>
      </c>
      <c r="AE50" s="36">
        <f t="shared" si="29"/>
        <v>0</v>
      </c>
      <c r="AF50" s="36">
        <f t="shared" si="30"/>
        <v>0</v>
      </c>
      <c r="AG50" s="36">
        <f t="shared" si="31"/>
        <v>0</v>
      </c>
      <c r="AH50" s="36">
        <f t="shared" si="32"/>
        <v>0</v>
      </c>
      <c r="AI50" s="35" t="s">
        <v>207</v>
      </c>
      <c r="AJ50" s="26">
        <f t="shared" si="33"/>
        <v>0</v>
      </c>
      <c r="AK50" s="26">
        <f t="shared" si="34"/>
        <v>0</v>
      </c>
      <c r="AL50" s="26">
        <f t="shared" si="35"/>
        <v>0</v>
      </c>
      <c r="AN50" s="36">
        <v>21</v>
      </c>
      <c r="AO50" s="36">
        <f>K50*0</f>
        <v>0</v>
      </c>
      <c r="AP50" s="36">
        <f>K50*(1-0)</f>
        <v>0</v>
      </c>
      <c r="AQ50" s="37" t="s">
        <v>13</v>
      </c>
      <c r="AV50" s="36">
        <f t="shared" si="36"/>
        <v>0</v>
      </c>
      <c r="AW50" s="36">
        <f t="shared" si="37"/>
        <v>0</v>
      </c>
      <c r="AX50" s="36">
        <f t="shared" si="38"/>
        <v>0</v>
      </c>
      <c r="AY50" s="39" t="s">
        <v>492</v>
      </c>
      <c r="AZ50" s="39" t="s">
        <v>507</v>
      </c>
      <c r="BA50" s="35" t="s">
        <v>520</v>
      </c>
      <c r="BC50" s="36">
        <f t="shared" si="39"/>
        <v>0</v>
      </c>
      <c r="BD50" s="36">
        <f t="shared" si="40"/>
        <v>0</v>
      </c>
      <c r="BE50" s="36">
        <v>0</v>
      </c>
      <c r="BF50" s="36">
        <f>50</f>
        <v>50</v>
      </c>
      <c r="BH50" s="26">
        <f t="shared" si="41"/>
        <v>0</v>
      </c>
      <c r="BI50" s="26">
        <f t="shared" si="42"/>
        <v>0</v>
      </c>
      <c r="BJ50" s="26">
        <f t="shared" si="43"/>
        <v>0</v>
      </c>
      <c r="BK50" s="26" t="s">
        <v>526</v>
      </c>
      <c r="BL50" s="36">
        <v>721</v>
      </c>
    </row>
    <row r="51" spans="1:64" ht="12.75">
      <c r="A51" s="5" t="s">
        <v>36</v>
      </c>
      <c r="B51" s="16" t="s">
        <v>207</v>
      </c>
      <c r="C51" s="16" t="s">
        <v>242</v>
      </c>
      <c r="D51" s="127" t="s">
        <v>365</v>
      </c>
      <c r="E51" s="128"/>
      <c r="F51" s="128"/>
      <c r="G51" s="128"/>
      <c r="H51" s="128"/>
      <c r="I51" s="16" t="s">
        <v>465</v>
      </c>
      <c r="J51" s="26">
        <v>1</v>
      </c>
      <c r="K51" s="26">
        <v>0</v>
      </c>
      <c r="L51" s="26">
        <f t="shared" si="22"/>
        <v>0</v>
      </c>
      <c r="M51" s="26">
        <f t="shared" si="23"/>
        <v>0</v>
      </c>
      <c r="N51" s="46">
        <f t="shared" si="24"/>
        <v>0</v>
      </c>
      <c r="O51" s="7"/>
      <c r="Z51" s="36">
        <f t="shared" si="25"/>
        <v>0</v>
      </c>
      <c r="AB51" s="36">
        <f t="shared" si="26"/>
        <v>0</v>
      </c>
      <c r="AC51" s="36">
        <f t="shared" si="27"/>
        <v>0</v>
      </c>
      <c r="AD51" s="36">
        <f t="shared" si="28"/>
        <v>0</v>
      </c>
      <c r="AE51" s="36">
        <f t="shared" si="29"/>
        <v>0</v>
      </c>
      <c r="AF51" s="36">
        <f t="shared" si="30"/>
        <v>0</v>
      </c>
      <c r="AG51" s="36">
        <f t="shared" si="31"/>
        <v>0</v>
      </c>
      <c r="AH51" s="36">
        <f t="shared" si="32"/>
        <v>0</v>
      </c>
      <c r="AI51" s="35" t="s">
        <v>207</v>
      </c>
      <c r="AJ51" s="26">
        <f t="shared" si="33"/>
        <v>0</v>
      </c>
      <c r="AK51" s="26">
        <f t="shared" si="34"/>
        <v>0</v>
      </c>
      <c r="AL51" s="26">
        <f t="shared" si="35"/>
        <v>0</v>
      </c>
      <c r="AN51" s="36">
        <v>21</v>
      </c>
      <c r="AO51" s="36">
        <f>K51*0</f>
        <v>0</v>
      </c>
      <c r="AP51" s="36">
        <f>K51*(1-0)</f>
        <v>0</v>
      </c>
      <c r="AQ51" s="37" t="s">
        <v>13</v>
      </c>
      <c r="AV51" s="36">
        <f t="shared" si="36"/>
        <v>0</v>
      </c>
      <c r="AW51" s="36">
        <f t="shared" si="37"/>
        <v>0</v>
      </c>
      <c r="AX51" s="36">
        <f t="shared" si="38"/>
        <v>0</v>
      </c>
      <c r="AY51" s="39" t="s">
        <v>492</v>
      </c>
      <c r="AZ51" s="39" t="s">
        <v>507</v>
      </c>
      <c r="BA51" s="35" t="s">
        <v>520</v>
      </c>
      <c r="BC51" s="36">
        <f t="shared" si="39"/>
        <v>0</v>
      </c>
      <c r="BD51" s="36">
        <f t="shared" si="40"/>
        <v>0</v>
      </c>
      <c r="BE51" s="36">
        <v>0</v>
      </c>
      <c r="BF51" s="36">
        <f>51</f>
        <v>51</v>
      </c>
      <c r="BH51" s="26">
        <f t="shared" si="41"/>
        <v>0</v>
      </c>
      <c r="BI51" s="26">
        <f t="shared" si="42"/>
        <v>0</v>
      </c>
      <c r="BJ51" s="26">
        <f t="shared" si="43"/>
        <v>0</v>
      </c>
      <c r="BK51" s="26" t="s">
        <v>526</v>
      </c>
      <c r="BL51" s="36">
        <v>721</v>
      </c>
    </row>
    <row r="52" spans="1:64" ht="12.75">
      <c r="A52" s="5" t="s">
        <v>37</v>
      </c>
      <c r="B52" s="16" t="s">
        <v>207</v>
      </c>
      <c r="C52" s="16" t="s">
        <v>243</v>
      </c>
      <c r="D52" s="127" t="s">
        <v>366</v>
      </c>
      <c r="E52" s="128"/>
      <c r="F52" s="128"/>
      <c r="G52" s="128"/>
      <c r="H52" s="128"/>
      <c r="I52" s="16" t="s">
        <v>463</v>
      </c>
      <c r="J52" s="26">
        <v>0.2</v>
      </c>
      <c r="K52" s="26">
        <v>0</v>
      </c>
      <c r="L52" s="26">
        <f t="shared" si="22"/>
        <v>0</v>
      </c>
      <c r="M52" s="26">
        <f t="shared" si="23"/>
        <v>0</v>
      </c>
      <c r="N52" s="46">
        <f t="shared" si="24"/>
        <v>0</v>
      </c>
      <c r="O52" s="7"/>
      <c r="Z52" s="36">
        <f t="shared" si="25"/>
        <v>0</v>
      </c>
      <c r="AB52" s="36">
        <f t="shared" si="26"/>
        <v>0</v>
      </c>
      <c r="AC52" s="36">
        <f t="shared" si="27"/>
        <v>0</v>
      </c>
      <c r="AD52" s="36">
        <f t="shared" si="28"/>
        <v>0</v>
      </c>
      <c r="AE52" s="36">
        <f t="shared" si="29"/>
        <v>0</v>
      </c>
      <c r="AF52" s="36">
        <f t="shared" si="30"/>
        <v>0</v>
      </c>
      <c r="AG52" s="36">
        <f t="shared" si="31"/>
        <v>0</v>
      </c>
      <c r="AH52" s="36">
        <f t="shared" si="32"/>
        <v>0</v>
      </c>
      <c r="AI52" s="35" t="s">
        <v>207</v>
      </c>
      <c r="AJ52" s="26">
        <f t="shared" si="33"/>
        <v>0</v>
      </c>
      <c r="AK52" s="26">
        <f t="shared" si="34"/>
        <v>0</v>
      </c>
      <c r="AL52" s="26">
        <f t="shared" si="35"/>
        <v>0</v>
      </c>
      <c r="AN52" s="36">
        <v>21</v>
      </c>
      <c r="AO52" s="36">
        <f>K52*0</f>
        <v>0</v>
      </c>
      <c r="AP52" s="36">
        <f>K52*(1-0)</f>
        <v>0</v>
      </c>
      <c r="AQ52" s="37" t="s">
        <v>11</v>
      </c>
      <c r="AV52" s="36">
        <f t="shared" si="36"/>
        <v>0</v>
      </c>
      <c r="AW52" s="36">
        <f t="shared" si="37"/>
        <v>0</v>
      </c>
      <c r="AX52" s="36">
        <f t="shared" si="38"/>
        <v>0</v>
      </c>
      <c r="AY52" s="39" t="s">
        <v>492</v>
      </c>
      <c r="AZ52" s="39" t="s">
        <v>507</v>
      </c>
      <c r="BA52" s="35" t="s">
        <v>520</v>
      </c>
      <c r="BC52" s="36">
        <f t="shared" si="39"/>
        <v>0</v>
      </c>
      <c r="BD52" s="36">
        <f t="shared" si="40"/>
        <v>0</v>
      </c>
      <c r="BE52" s="36">
        <v>0</v>
      </c>
      <c r="BF52" s="36">
        <f>52</f>
        <v>52</v>
      </c>
      <c r="BH52" s="26">
        <f t="shared" si="41"/>
        <v>0</v>
      </c>
      <c r="BI52" s="26">
        <f t="shared" si="42"/>
        <v>0</v>
      </c>
      <c r="BJ52" s="26">
        <f t="shared" si="43"/>
        <v>0</v>
      </c>
      <c r="BK52" s="26" t="s">
        <v>526</v>
      </c>
      <c r="BL52" s="36">
        <v>721</v>
      </c>
    </row>
    <row r="53" spans="1:47" ht="12.75">
      <c r="A53" s="4"/>
      <c r="B53" s="15" t="s">
        <v>207</v>
      </c>
      <c r="C53" s="15" t="s">
        <v>244</v>
      </c>
      <c r="D53" s="129" t="s">
        <v>367</v>
      </c>
      <c r="E53" s="130"/>
      <c r="F53" s="130"/>
      <c r="G53" s="130"/>
      <c r="H53" s="130"/>
      <c r="I53" s="23" t="s">
        <v>6</v>
      </c>
      <c r="J53" s="23" t="s">
        <v>6</v>
      </c>
      <c r="K53" s="23" t="s">
        <v>6</v>
      </c>
      <c r="L53" s="42">
        <f>SUM(L54:L80)</f>
        <v>0</v>
      </c>
      <c r="M53" s="42">
        <f>SUM(M54:M80)</f>
        <v>0</v>
      </c>
      <c r="N53" s="45">
        <f>SUM(N54:N80)</f>
        <v>0</v>
      </c>
      <c r="O53" s="7"/>
      <c r="AI53" s="35" t="s">
        <v>207</v>
      </c>
      <c r="AS53" s="42">
        <f>SUM(AJ54:AJ80)</f>
        <v>0</v>
      </c>
      <c r="AT53" s="42">
        <f>SUM(AK54:AK80)</f>
        <v>0</v>
      </c>
      <c r="AU53" s="42">
        <f>SUM(AL54:AL80)</f>
        <v>0</v>
      </c>
    </row>
    <row r="54" spans="1:64" ht="12.75">
      <c r="A54" s="5" t="s">
        <v>38</v>
      </c>
      <c r="B54" s="16" t="s">
        <v>207</v>
      </c>
      <c r="C54" s="16" t="s">
        <v>245</v>
      </c>
      <c r="D54" s="127" t="s">
        <v>368</v>
      </c>
      <c r="E54" s="128"/>
      <c r="F54" s="128"/>
      <c r="G54" s="128"/>
      <c r="H54" s="128"/>
      <c r="I54" s="16" t="s">
        <v>466</v>
      </c>
      <c r="J54" s="26">
        <v>4</v>
      </c>
      <c r="K54" s="26">
        <v>0</v>
      </c>
      <c r="L54" s="26">
        <f aca="true" t="shared" si="44" ref="L54:L80">J54*AO54</f>
        <v>0</v>
      </c>
      <c r="M54" s="26">
        <f aca="true" t="shared" si="45" ref="M54:M80">J54*AP54</f>
        <v>0</v>
      </c>
      <c r="N54" s="46">
        <f aca="true" t="shared" si="46" ref="N54:N80">J54*K54</f>
        <v>0</v>
      </c>
      <c r="O54" s="7"/>
      <c r="Z54" s="36">
        <f aca="true" t="shared" si="47" ref="Z54:Z80">IF(AQ54="5",BJ54,0)</f>
        <v>0</v>
      </c>
      <c r="AB54" s="36">
        <f aca="true" t="shared" si="48" ref="AB54:AB80">IF(AQ54="1",BH54,0)</f>
        <v>0</v>
      </c>
      <c r="AC54" s="36">
        <f aca="true" t="shared" si="49" ref="AC54:AC80">IF(AQ54="1",BI54,0)</f>
        <v>0</v>
      </c>
      <c r="AD54" s="36">
        <f aca="true" t="shared" si="50" ref="AD54:AD80">IF(AQ54="7",BH54,0)</f>
        <v>0</v>
      </c>
      <c r="AE54" s="36">
        <f aca="true" t="shared" si="51" ref="AE54:AE80">IF(AQ54="7",BI54,0)</f>
        <v>0</v>
      </c>
      <c r="AF54" s="36">
        <f aca="true" t="shared" si="52" ref="AF54:AF80">IF(AQ54="2",BH54,0)</f>
        <v>0</v>
      </c>
      <c r="AG54" s="36">
        <f aca="true" t="shared" si="53" ref="AG54:AG80">IF(AQ54="2",BI54,0)</f>
        <v>0</v>
      </c>
      <c r="AH54" s="36">
        <f aca="true" t="shared" si="54" ref="AH54:AH80">IF(AQ54="0",BJ54,0)</f>
        <v>0</v>
      </c>
      <c r="AI54" s="35" t="s">
        <v>207</v>
      </c>
      <c r="AJ54" s="26">
        <f aca="true" t="shared" si="55" ref="AJ54:AJ80">IF(AN54=0,N54,0)</f>
        <v>0</v>
      </c>
      <c r="AK54" s="26">
        <f aca="true" t="shared" si="56" ref="AK54:AK80">IF(AN54=15,N54,0)</f>
        <v>0</v>
      </c>
      <c r="AL54" s="26">
        <f aca="true" t="shared" si="57" ref="AL54:AL80">IF(AN54=21,N54,0)</f>
        <v>0</v>
      </c>
      <c r="AN54" s="36">
        <v>21</v>
      </c>
      <c r="AO54" s="36">
        <f>K54*0</f>
        <v>0</v>
      </c>
      <c r="AP54" s="36">
        <f>K54*(1-0)</f>
        <v>0</v>
      </c>
      <c r="AQ54" s="37" t="s">
        <v>13</v>
      </c>
      <c r="AV54" s="36">
        <f aca="true" t="shared" si="58" ref="AV54:AV80">AW54+AX54</f>
        <v>0</v>
      </c>
      <c r="AW54" s="36">
        <f aca="true" t="shared" si="59" ref="AW54:AW80">J54*AO54</f>
        <v>0</v>
      </c>
      <c r="AX54" s="36">
        <f aca="true" t="shared" si="60" ref="AX54:AX80">J54*AP54</f>
        <v>0</v>
      </c>
      <c r="AY54" s="39" t="s">
        <v>493</v>
      </c>
      <c r="AZ54" s="39" t="s">
        <v>507</v>
      </c>
      <c r="BA54" s="35" t="s">
        <v>520</v>
      </c>
      <c r="BC54" s="36">
        <f aca="true" t="shared" si="61" ref="BC54:BC80">AW54+AX54</f>
        <v>0</v>
      </c>
      <c r="BD54" s="36">
        <f aca="true" t="shared" si="62" ref="BD54:BD80">K54/(100-BE54)*100</f>
        <v>0</v>
      </c>
      <c r="BE54" s="36">
        <v>0</v>
      </c>
      <c r="BF54" s="36">
        <f>54</f>
        <v>54</v>
      </c>
      <c r="BH54" s="26">
        <f aca="true" t="shared" si="63" ref="BH54:BH80">J54*AO54</f>
        <v>0</v>
      </c>
      <c r="BI54" s="26">
        <f aca="true" t="shared" si="64" ref="BI54:BI80">J54*AP54</f>
        <v>0</v>
      </c>
      <c r="BJ54" s="26">
        <f aca="true" t="shared" si="65" ref="BJ54:BJ80">J54*K54</f>
        <v>0</v>
      </c>
      <c r="BK54" s="26" t="s">
        <v>526</v>
      </c>
      <c r="BL54" s="36">
        <v>722</v>
      </c>
    </row>
    <row r="55" spans="1:64" ht="12.75">
      <c r="A55" s="5" t="s">
        <v>39</v>
      </c>
      <c r="B55" s="16" t="s">
        <v>207</v>
      </c>
      <c r="C55" s="16" t="s">
        <v>246</v>
      </c>
      <c r="D55" s="127" t="s">
        <v>369</v>
      </c>
      <c r="E55" s="128"/>
      <c r="F55" s="128"/>
      <c r="G55" s="128"/>
      <c r="H55" s="128"/>
      <c r="I55" s="16" t="s">
        <v>462</v>
      </c>
      <c r="J55" s="26">
        <v>4</v>
      </c>
      <c r="K55" s="26">
        <v>0</v>
      </c>
      <c r="L55" s="26">
        <f t="shared" si="44"/>
        <v>0</v>
      </c>
      <c r="M55" s="26">
        <f t="shared" si="45"/>
        <v>0</v>
      </c>
      <c r="N55" s="46">
        <f t="shared" si="46"/>
        <v>0</v>
      </c>
      <c r="O55" s="7"/>
      <c r="Z55" s="36">
        <f t="shared" si="47"/>
        <v>0</v>
      </c>
      <c r="AB55" s="36">
        <f t="shared" si="48"/>
        <v>0</v>
      </c>
      <c r="AC55" s="36">
        <f t="shared" si="49"/>
        <v>0</v>
      </c>
      <c r="AD55" s="36">
        <f t="shared" si="50"/>
        <v>0</v>
      </c>
      <c r="AE55" s="36">
        <f t="shared" si="51"/>
        <v>0</v>
      </c>
      <c r="AF55" s="36">
        <f t="shared" si="52"/>
        <v>0</v>
      </c>
      <c r="AG55" s="36">
        <f t="shared" si="53"/>
        <v>0</v>
      </c>
      <c r="AH55" s="36">
        <f t="shared" si="54"/>
        <v>0</v>
      </c>
      <c r="AI55" s="35" t="s">
        <v>207</v>
      </c>
      <c r="AJ55" s="26">
        <f t="shared" si="55"/>
        <v>0</v>
      </c>
      <c r="AK55" s="26">
        <f t="shared" si="56"/>
        <v>0</v>
      </c>
      <c r="AL55" s="26">
        <f t="shared" si="57"/>
        <v>0</v>
      </c>
      <c r="AN55" s="36">
        <v>21</v>
      </c>
      <c r="AO55" s="36">
        <f>K55*0.51533510034078</f>
        <v>0</v>
      </c>
      <c r="AP55" s="36">
        <f>K55*(1-0.51533510034078)</f>
        <v>0</v>
      </c>
      <c r="AQ55" s="37" t="s">
        <v>13</v>
      </c>
      <c r="AV55" s="36">
        <f t="shared" si="58"/>
        <v>0</v>
      </c>
      <c r="AW55" s="36">
        <f t="shared" si="59"/>
        <v>0</v>
      </c>
      <c r="AX55" s="36">
        <f t="shared" si="60"/>
        <v>0</v>
      </c>
      <c r="AY55" s="39" t="s">
        <v>493</v>
      </c>
      <c r="AZ55" s="39" t="s">
        <v>507</v>
      </c>
      <c r="BA55" s="35" t="s">
        <v>520</v>
      </c>
      <c r="BC55" s="36">
        <f t="shared" si="61"/>
        <v>0</v>
      </c>
      <c r="BD55" s="36">
        <f t="shared" si="62"/>
        <v>0</v>
      </c>
      <c r="BE55" s="36">
        <v>0</v>
      </c>
      <c r="BF55" s="36">
        <f>55</f>
        <v>55</v>
      </c>
      <c r="BH55" s="26">
        <f t="shared" si="63"/>
        <v>0</v>
      </c>
      <c r="BI55" s="26">
        <f t="shared" si="64"/>
        <v>0</v>
      </c>
      <c r="BJ55" s="26">
        <f t="shared" si="65"/>
        <v>0</v>
      </c>
      <c r="BK55" s="26" t="s">
        <v>526</v>
      </c>
      <c r="BL55" s="36">
        <v>722</v>
      </c>
    </row>
    <row r="56" spans="1:64" ht="12.75">
      <c r="A56" s="6" t="s">
        <v>40</v>
      </c>
      <c r="B56" s="17" t="s">
        <v>207</v>
      </c>
      <c r="C56" s="17" t="s">
        <v>247</v>
      </c>
      <c r="D56" s="133" t="s">
        <v>370</v>
      </c>
      <c r="E56" s="134"/>
      <c r="F56" s="134"/>
      <c r="G56" s="134"/>
      <c r="H56" s="134"/>
      <c r="I56" s="17" t="s">
        <v>462</v>
      </c>
      <c r="J56" s="27">
        <v>3</v>
      </c>
      <c r="K56" s="27">
        <v>0</v>
      </c>
      <c r="L56" s="27">
        <f t="shared" si="44"/>
        <v>0</v>
      </c>
      <c r="M56" s="27">
        <f t="shared" si="45"/>
        <v>0</v>
      </c>
      <c r="N56" s="47">
        <f t="shared" si="46"/>
        <v>0</v>
      </c>
      <c r="O56" s="7"/>
      <c r="Z56" s="36">
        <f t="shared" si="47"/>
        <v>0</v>
      </c>
      <c r="AB56" s="36">
        <f t="shared" si="48"/>
        <v>0</v>
      </c>
      <c r="AC56" s="36">
        <f t="shared" si="49"/>
        <v>0</v>
      </c>
      <c r="AD56" s="36">
        <f t="shared" si="50"/>
        <v>0</v>
      </c>
      <c r="AE56" s="36">
        <f t="shared" si="51"/>
        <v>0</v>
      </c>
      <c r="AF56" s="36">
        <f t="shared" si="52"/>
        <v>0</v>
      </c>
      <c r="AG56" s="36">
        <f t="shared" si="53"/>
        <v>0</v>
      </c>
      <c r="AH56" s="36">
        <f t="shared" si="54"/>
        <v>0</v>
      </c>
      <c r="AI56" s="35" t="s">
        <v>207</v>
      </c>
      <c r="AJ56" s="27">
        <f t="shared" si="55"/>
        <v>0</v>
      </c>
      <c r="AK56" s="27">
        <f t="shared" si="56"/>
        <v>0</v>
      </c>
      <c r="AL56" s="27">
        <f t="shared" si="57"/>
        <v>0</v>
      </c>
      <c r="AN56" s="36">
        <v>21</v>
      </c>
      <c r="AO56" s="36">
        <f>K56*1</f>
        <v>0</v>
      </c>
      <c r="AP56" s="36">
        <f>K56*(1-1)</f>
        <v>0</v>
      </c>
      <c r="AQ56" s="38" t="s">
        <v>13</v>
      </c>
      <c r="AV56" s="36">
        <f t="shared" si="58"/>
        <v>0</v>
      </c>
      <c r="AW56" s="36">
        <f t="shared" si="59"/>
        <v>0</v>
      </c>
      <c r="AX56" s="36">
        <f t="shared" si="60"/>
        <v>0</v>
      </c>
      <c r="AY56" s="39" t="s">
        <v>493</v>
      </c>
      <c r="AZ56" s="39" t="s">
        <v>507</v>
      </c>
      <c r="BA56" s="35" t="s">
        <v>520</v>
      </c>
      <c r="BC56" s="36">
        <f t="shared" si="61"/>
        <v>0</v>
      </c>
      <c r="BD56" s="36">
        <f t="shared" si="62"/>
        <v>0</v>
      </c>
      <c r="BE56" s="36">
        <v>0</v>
      </c>
      <c r="BF56" s="36">
        <f>56</f>
        <v>56</v>
      </c>
      <c r="BH56" s="27">
        <f t="shared" si="63"/>
        <v>0</v>
      </c>
      <c r="BI56" s="27">
        <f t="shared" si="64"/>
        <v>0</v>
      </c>
      <c r="BJ56" s="27">
        <f t="shared" si="65"/>
        <v>0</v>
      </c>
      <c r="BK56" s="27" t="s">
        <v>527</v>
      </c>
      <c r="BL56" s="36">
        <v>722</v>
      </c>
    </row>
    <row r="57" spans="1:64" ht="12.75">
      <c r="A57" s="5" t="s">
        <v>41</v>
      </c>
      <c r="B57" s="16" t="s">
        <v>207</v>
      </c>
      <c r="C57" s="16" t="s">
        <v>248</v>
      </c>
      <c r="D57" s="127" t="s">
        <v>371</v>
      </c>
      <c r="E57" s="128"/>
      <c r="F57" s="128"/>
      <c r="G57" s="128"/>
      <c r="H57" s="128"/>
      <c r="I57" s="16" t="s">
        <v>466</v>
      </c>
      <c r="J57" s="26">
        <v>1</v>
      </c>
      <c r="K57" s="26">
        <v>0</v>
      </c>
      <c r="L57" s="26">
        <f t="shared" si="44"/>
        <v>0</v>
      </c>
      <c r="M57" s="26">
        <f t="shared" si="45"/>
        <v>0</v>
      </c>
      <c r="N57" s="46">
        <f t="shared" si="46"/>
        <v>0</v>
      </c>
      <c r="O57" s="7"/>
      <c r="Z57" s="36">
        <f t="shared" si="47"/>
        <v>0</v>
      </c>
      <c r="AB57" s="36">
        <f t="shared" si="48"/>
        <v>0</v>
      </c>
      <c r="AC57" s="36">
        <f t="shared" si="49"/>
        <v>0</v>
      </c>
      <c r="AD57" s="36">
        <f t="shared" si="50"/>
        <v>0</v>
      </c>
      <c r="AE57" s="36">
        <f t="shared" si="51"/>
        <v>0</v>
      </c>
      <c r="AF57" s="36">
        <f t="shared" si="52"/>
        <v>0</v>
      </c>
      <c r="AG57" s="36">
        <f t="shared" si="53"/>
        <v>0</v>
      </c>
      <c r="AH57" s="36">
        <f t="shared" si="54"/>
        <v>0</v>
      </c>
      <c r="AI57" s="35" t="s">
        <v>207</v>
      </c>
      <c r="AJ57" s="26">
        <f t="shared" si="55"/>
        <v>0</v>
      </c>
      <c r="AK57" s="26">
        <f t="shared" si="56"/>
        <v>0</v>
      </c>
      <c r="AL57" s="26">
        <f t="shared" si="57"/>
        <v>0</v>
      </c>
      <c r="AN57" s="36">
        <v>21</v>
      </c>
      <c r="AO57" s="36">
        <f>K57*0.881439194342078</f>
        <v>0</v>
      </c>
      <c r="AP57" s="36">
        <f>K57*(1-0.881439194342078)</f>
        <v>0</v>
      </c>
      <c r="AQ57" s="37" t="s">
        <v>13</v>
      </c>
      <c r="AV57" s="36">
        <f t="shared" si="58"/>
        <v>0</v>
      </c>
      <c r="AW57" s="36">
        <f t="shared" si="59"/>
        <v>0</v>
      </c>
      <c r="AX57" s="36">
        <f t="shared" si="60"/>
        <v>0</v>
      </c>
      <c r="AY57" s="39" t="s">
        <v>493</v>
      </c>
      <c r="AZ57" s="39" t="s">
        <v>507</v>
      </c>
      <c r="BA57" s="35" t="s">
        <v>520</v>
      </c>
      <c r="BC57" s="36">
        <f t="shared" si="61"/>
        <v>0</v>
      </c>
      <c r="BD57" s="36">
        <f t="shared" si="62"/>
        <v>0</v>
      </c>
      <c r="BE57" s="36">
        <v>0</v>
      </c>
      <c r="BF57" s="36">
        <f>57</f>
        <v>57</v>
      </c>
      <c r="BH57" s="26">
        <f t="shared" si="63"/>
        <v>0</v>
      </c>
      <c r="BI57" s="26">
        <f t="shared" si="64"/>
        <v>0</v>
      </c>
      <c r="BJ57" s="26">
        <f t="shared" si="65"/>
        <v>0</v>
      </c>
      <c r="BK57" s="26" t="s">
        <v>526</v>
      </c>
      <c r="BL57" s="36">
        <v>722</v>
      </c>
    </row>
    <row r="58" spans="1:64" ht="12.75">
      <c r="A58" s="6" t="s">
        <v>42</v>
      </c>
      <c r="B58" s="17" t="s">
        <v>207</v>
      </c>
      <c r="C58" s="17" t="s">
        <v>249</v>
      </c>
      <c r="D58" s="133" t="s">
        <v>372</v>
      </c>
      <c r="E58" s="134"/>
      <c r="F58" s="134"/>
      <c r="G58" s="134"/>
      <c r="H58" s="134"/>
      <c r="I58" s="17" t="s">
        <v>462</v>
      </c>
      <c r="J58" s="27">
        <v>3</v>
      </c>
      <c r="K58" s="27">
        <v>0</v>
      </c>
      <c r="L58" s="27">
        <f t="shared" si="44"/>
        <v>0</v>
      </c>
      <c r="M58" s="27">
        <f t="shared" si="45"/>
        <v>0</v>
      </c>
      <c r="N58" s="47">
        <f t="shared" si="46"/>
        <v>0</v>
      </c>
      <c r="O58" s="7"/>
      <c r="Z58" s="36">
        <f t="shared" si="47"/>
        <v>0</v>
      </c>
      <c r="AB58" s="36">
        <f t="shared" si="48"/>
        <v>0</v>
      </c>
      <c r="AC58" s="36">
        <f t="shared" si="49"/>
        <v>0</v>
      </c>
      <c r="AD58" s="36">
        <f t="shared" si="50"/>
        <v>0</v>
      </c>
      <c r="AE58" s="36">
        <f t="shared" si="51"/>
        <v>0</v>
      </c>
      <c r="AF58" s="36">
        <f t="shared" si="52"/>
        <v>0</v>
      </c>
      <c r="AG58" s="36">
        <f t="shared" si="53"/>
        <v>0</v>
      </c>
      <c r="AH58" s="36">
        <f t="shared" si="54"/>
        <v>0</v>
      </c>
      <c r="AI58" s="35" t="s">
        <v>207</v>
      </c>
      <c r="AJ58" s="27">
        <f t="shared" si="55"/>
        <v>0</v>
      </c>
      <c r="AK58" s="27">
        <f t="shared" si="56"/>
        <v>0</v>
      </c>
      <c r="AL58" s="27">
        <f t="shared" si="57"/>
        <v>0</v>
      </c>
      <c r="AN58" s="36">
        <v>21</v>
      </c>
      <c r="AO58" s="36">
        <f>K58*1</f>
        <v>0</v>
      </c>
      <c r="AP58" s="36">
        <f>K58*(1-1)</f>
        <v>0</v>
      </c>
      <c r="AQ58" s="38" t="s">
        <v>13</v>
      </c>
      <c r="AV58" s="36">
        <f t="shared" si="58"/>
        <v>0</v>
      </c>
      <c r="AW58" s="36">
        <f t="shared" si="59"/>
        <v>0</v>
      </c>
      <c r="AX58" s="36">
        <f t="shared" si="60"/>
        <v>0</v>
      </c>
      <c r="AY58" s="39" t="s">
        <v>493</v>
      </c>
      <c r="AZ58" s="39" t="s">
        <v>507</v>
      </c>
      <c r="BA58" s="35" t="s">
        <v>520</v>
      </c>
      <c r="BC58" s="36">
        <f t="shared" si="61"/>
        <v>0</v>
      </c>
      <c r="BD58" s="36">
        <f t="shared" si="62"/>
        <v>0</v>
      </c>
      <c r="BE58" s="36">
        <v>0</v>
      </c>
      <c r="BF58" s="36">
        <f>58</f>
        <v>58</v>
      </c>
      <c r="BH58" s="27">
        <f t="shared" si="63"/>
        <v>0</v>
      </c>
      <c r="BI58" s="27">
        <f t="shared" si="64"/>
        <v>0</v>
      </c>
      <c r="BJ58" s="27">
        <f t="shared" si="65"/>
        <v>0</v>
      </c>
      <c r="BK58" s="27" t="s">
        <v>527</v>
      </c>
      <c r="BL58" s="36">
        <v>722</v>
      </c>
    </row>
    <row r="59" spans="1:64" ht="12.75">
      <c r="A59" s="5" t="s">
        <v>43</v>
      </c>
      <c r="B59" s="16" t="s">
        <v>207</v>
      </c>
      <c r="C59" s="16" t="s">
        <v>250</v>
      </c>
      <c r="D59" s="127" t="s">
        <v>373</v>
      </c>
      <c r="E59" s="128"/>
      <c r="F59" s="128"/>
      <c r="G59" s="128"/>
      <c r="H59" s="128"/>
      <c r="I59" s="16" t="s">
        <v>462</v>
      </c>
      <c r="J59" s="26">
        <v>0</v>
      </c>
      <c r="K59" s="26">
        <v>0</v>
      </c>
      <c r="L59" s="26">
        <f t="shared" si="44"/>
        <v>0</v>
      </c>
      <c r="M59" s="26">
        <f t="shared" si="45"/>
        <v>0</v>
      </c>
      <c r="N59" s="46">
        <f t="shared" si="46"/>
        <v>0</v>
      </c>
      <c r="O59" s="7"/>
      <c r="Z59" s="36">
        <f t="shared" si="47"/>
        <v>0</v>
      </c>
      <c r="AB59" s="36">
        <f t="shared" si="48"/>
        <v>0</v>
      </c>
      <c r="AC59" s="36">
        <f t="shared" si="49"/>
        <v>0</v>
      </c>
      <c r="AD59" s="36">
        <f t="shared" si="50"/>
        <v>0</v>
      </c>
      <c r="AE59" s="36">
        <f t="shared" si="51"/>
        <v>0</v>
      </c>
      <c r="AF59" s="36">
        <f t="shared" si="52"/>
        <v>0</v>
      </c>
      <c r="AG59" s="36">
        <f t="shared" si="53"/>
        <v>0</v>
      </c>
      <c r="AH59" s="36">
        <f t="shared" si="54"/>
        <v>0</v>
      </c>
      <c r="AI59" s="35" t="s">
        <v>207</v>
      </c>
      <c r="AJ59" s="26">
        <f t="shared" si="55"/>
        <v>0</v>
      </c>
      <c r="AK59" s="26">
        <f t="shared" si="56"/>
        <v>0</v>
      </c>
      <c r="AL59" s="26">
        <f t="shared" si="57"/>
        <v>0</v>
      </c>
      <c r="AN59" s="36">
        <v>21</v>
      </c>
      <c r="AO59" s="36">
        <f>K59*0</f>
        <v>0</v>
      </c>
      <c r="AP59" s="36">
        <f>K59*(1-0)</f>
        <v>0</v>
      </c>
      <c r="AQ59" s="37" t="s">
        <v>13</v>
      </c>
      <c r="AV59" s="36">
        <f t="shared" si="58"/>
        <v>0</v>
      </c>
      <c r="AW59" s="36">
        <f t="shared" si="59"/>
        <v>0</v>
      </c>
      <c r="AX59" s="36">
        <f t="shared" si="60"/>
        <v>0</v>
      </c>
      <c r="AY59" s="39" t="s">
        <v>493</v>
      </c>
      <c r="AZ59" s="39" t="s">
        <v>507</v>
      </c>
      <c r="BA59" s="35" t="s">
        <v>520</v>
      </c>
      <c r="BC59" s="36">
        <f t="shared" si="61"/>
        <v>0</v>
      </c>
      <c r="BD59" s="36">
        <f t="shared" si="62"/>
        <v>0</v>
      </c>
      <c r="BE59" s="36">
        <v>0</v>
      </c>
      <c r="BF59" s="36">
        <f>59</f>
        <v>59</v>
      </c>
      <c r="BH59" s="26">
        <f t="shared" si="63"/>
        <v>0</v>
      </c>
      <c r="BI59" s="26">
        <f t="shared" si="64"/>
        <v>0</v>
      </c>
      <c r="BJ59" s="26">
        <f t="shared" si="65"/>
        <v>0</v>
      </c>
      <c r="BK59" s="26" t="s">
        <v>526</v>
      </c>
      <c r="BL59" s="36">
        <v>722</v>
      </c>
    </row>
    <row r="60" spans="1:64" ht="12.75">
      <c r="A60" s="6" t="s">
        <v>44</v>
      </c>
      <c r="B60" s="17" t="s">
        <v>207</v>
      </c>
      <c r="C60" s="17" t="s">
        <v>251</v>
      </c>
      <c r="D60" s="133" t="s">
        <v>374</v>
      </c>
      <c r="E60" s="134"/>
      <c r="F60" s="134"/>
      <c r="G60" s="134"/>
      <c r="H60" s="134"/>
      <c r="I60" s="17" t="s">
        <v>462</v>
      </c>
      <c r="J60" s="27">
        <v>1</v>
      </c>
      <c r="K60" s="27">
        <v>0</v>
      </c>
      <c r="L60" s="27">
        <f t="shared" si="44"/>
        <v>0</v>
      </c>
      <c r="M60" s="27">
        <f t="shared" si="45"/>
        <v>0</v>
      </c>
      <c r="N60" s="47">
        <f t="shared" si="46"/>
        <v>0</v>
      </c>
      <c r="O60" s="7"/>
      <c r="Z60" s="36">
        <f t="shared" si="47"/>
        <v>0</v>
      </c>
      <c r="AB60" s="36">
        <f t="shared" si="48"/>
        <v>0</v>
      </c>
      <c r="AC60" s="36">
        <f t="shared" si="49"/>
        <v>0</v>
      </c>
      <c r="AD60" s="36">
        <f t="shared" si="50"/>
        <v>0</v>
      </c>
      <c r="AE60" s="36">
        <f t="shared" si="51"/>
        <v>0</v>
      </c>
      <c r="AF60" s="36">
        <f t="shared" si="52"/>
        <v>0</v>
      </c>
      <c r="AG60" s="36">
        <f t="shared" si="53"/>
        <v>0</v>
      </c>
      <c r="AH60" s="36">
        <f t="shared" si="54"/>
        <v>0</v>
      </c>
      <c r="AI60" s="35" t="s">
        <v>207</v>
      </c>
      <c r="AJ60" s="27">
        <f t="shared" si="55"/>
        <v>0</v>
      </c>
      <c r="AK60" s="27">
        <f t="shared" si="56"/>
        <v>0</v>
      </c>
      <c r="AL60" s="27">
        <f t="shared" si="57"/>
        <v>0</v>
      </c>
      <c r="AN60" s="36">
        <v>21</v>
      </c>
      <c r="AO60" s="36">
        <f>K60*1</f>
        <v>0</v>
      </c>
      <c r="AP60" s="36">
        <f>K60*(1-1)</f>
        <v>0</v>
      </c>
      <c r="AQ60" s="38" t="s">
        <v>13</v>
      </c>
      <c r="AV60" s="36">
        <f t="shared" si="58"/>
        <v>0</v>
      </c>
      <c r="AW60" s="36">
        <f t="shared" si="59"/>
        <v>0</v>
      </c>
      <c r="AX60" s="36">
        <f t="shared" si="60"/>
        <v>0</v>
      </c>
      <c r="AY60" s="39" t="s">
        <v>493</v>
      </c>
      <c r="AZ60" s="39" t="s">
        <v>507</v>
      </c>
      <c r="BA60" s="35" t="s">
        <v>520</v>
      </c>
      <c r="BC60" s="36">
        <f t="shared" si="61"/>
        <v>0</v>
      </c>
      <c r="BD60" s="36">
        <f t="shared" si="62"/>
        <v>0</v>
      </c>
      <c r="BE60" s="36">
        <v>0</v>
      </c>
      <c r="BF60" s="36">
        <f>60</f>
        <v>60</v>
      </c>
      <c r="BH60" s="27">
        <f t="shared" si="63"/>
        <v>0</v>
      </c>
      <c r="BI60" s="27">
        <f t="shared" si="64"/>
        <v>0</v>
      </c>
      <c r="BJ60" s="27">
        <f t="shared" si="65"/>
        <v>0</v>
      </c>
      <c r="BK60" s="27" t="s">
        <v>527</v>
      </c>
      <c r="BL60" s="36">
        <v>722</v>
      </c>
    </row>
    <row r="61" spans="1:64" ht="12.75">
      <c r="A61" s="6" t="s">
        <v>45</v>
      </c>
      <c r="B61" s="17" t="s">
        <v>207</v>
      </c>
      <c r="C61" s="17" t="s">
        <v>252</v>
      </c>
      <c r="D61" s="133" t="s">
        <v>375</v>
      </c>
      <c r="E61" s="134"/>
      <c r="F61" s="134"/>
      <c r="G61" s="134"/>
      <c r="H61" s="134"/>
      <c r="I61" s="17" t="s">
        <v>462</v>
      </c>
      <c r="J61" s="27">
        <v>1</v>
      </c>
      <c r="K61" s="27">
        <v>0</v>
      </c>
      <c r="L61" s="27">
        <f t="shared" si="44"/>
        <v>0</v>
      </c>
      <c r="M61" s="27">
        <f t="shared" si="45"/>
        <v>0</v>
      </c>
      <c r="N61" s="47">
        <f t="shared" si="46"/>
        <v>0</v>
      </c>
      <c r="O61" s="7"/>
      <c r="Z61" s="36">
        <f t="shared" si="47"/>
        <v>0</v>
      </c>
      <c r="AB61" s="36">
        <f t="shared" si="48"/>
        <v>0</v>
      </c>
      <c r="AC61" s="36">
        <f t="shared" si="49"/>
        <v>0</v>
      </c>
      <c r="AD61" s="36">
        <f t="shared" si="50"/>
        <v>0</v>
      </c>
      <c r="AE61" s="36">
        <f t="shared" si="51"/>
        <v>0</v>
      </c>
      <c r="AF61" s="36">
        <f t="shared" si="52"/>
        <v>0</v>
      </c>
      <c r="AG61" s="36">
        <f t="shared" si="53"/>
        <v>0</v>
      </c>
      <c r="AH61" s="36">
        <f t="shared" si="54"/>
        <v>0</v>
      </c>
      <c r="AI61" s="35" t="s">
        <v>207</v>
      </c>
      <c r="AJ61" s="27">
        <f t="shared" si="55"/>
        <v>0</v>
      </c>
      <c r="AK61" s="27">
        <f t="shared" si="56"/>
        <v>0</v>
      </c>
      <c r="AL61" s="27">
        <f t="shared" si="57"/>
        <v>0</v>
      </c>
      <c r="AN61" s="36">
        <v>21</v>
      </c>
      <c r="AO61" s="36">
        <f>K61*1</f>
        <v>0</v>
      </c>
      <c r="AP61" s="36">
        <f>K61*(1-1)</f>
        <v>0</v>
      </c>
      <c r="AQ61" s="38" t="s">
        <v>13</v>
      </c>
      <c r="AV61" s="36">
        <f t="shared" si="58"/>
        <v>0</v>
      </c>
      <c r="AW61" s="36">
        <f t="shared" si="59"/>
        <v>0</v>
      </c>
      <c r="AX61" s="36">
        <f t="shared" si="60"/>
        <v>0</v>
      </c>
      <c r="AY61" s="39" t="s">
        <v>493</v>
      </c>
      <c r="AZ61" s="39" t="s">
        <v>507</v>
      </c>
      <c r="BA61" s="35" t="s">
        <v>520</v>
      </c>
      <c r="BC61" s="36">
        <f t="shared" si="61"/>
        <v>0</v>
      </c>
      <c r="BD61" s="36">
        <f t="shared" si="62"/>
        <v>0</v>
      </c>
      <c r="BE61" s="36">
        <v>0</v>
      </c>
      <c r="BF61" s="36">
        <f>61</f>
        <v>61</v>
      </c>
      <c r="BH61" s="27">
        <f t="shared" si="63"/>
        <v>0</v>
      </c>
      <c r="BI61" s="27">
        <f t="shared" si="64"/>
        <v>0</v>
      </c>
      <c r="BJ61" s="27">
        <f t="shared" si="65"/>
        <v>0</v>
      </c>
      <c r="BK61" s="27" t="s">
        <v>527</v>
      </c>
      <c r="BL61" s="36">
        <v>722</v>
      </c>
    </row>
    <row r="62" spans="1:64" ht="12.75">
      <c r="A62" s="5" t="s">
        <v>46</v>
      </c>
      <c r="B62" s="16" t="s">
        <v>207</v>
      </c>
      <c r="C62" s="16" t="s">
        <v>253</v>
      </c>
      <c r="D62" s="127" t="s">
        <v>376</v>
      </c>
      <c r="E62" s="128"/>
      <c r="F62" s="128"/>
      <c r="G62" s="128"/>
      <c r="H62" s="128"/>
      <c r="I62" s="16" t="s">
        <v>466</v>
      </c>
      <c r="J62" s="26">
        <v>4</v>
      </c>
      <c r="K62" s="26">
        <v>0</v>
      </c>
      <c r="L62" s="26">
        <f t="shared" si="44"/>
        <v>0</v>
      </c>
      <c r="M62" s="26">
        <f t="shared" si="45"/>
        <v>0</v>
      </c>
      <c r="N62" s="46">
        <f t="shared" si="46"/>
        <v>0</v>
      </c>
      <c r="O62" s="7"/>
      <c r="Z62" s="36">
        <f t="shared" si="47"/>
        <v>0</v>
      </c>
      <c r="AB62" s="36">
        <f t="shared" si="48"/>
        <v>0</v>
      </c>
      <c r="AC62" s="36">
        <f t="shared" si="49"/>
        <v>0</v>
      </c>
      <c r="AD62" s="36">
        <f t="shared" si="50"/>
        <v>0</v>
      </c>
      <c r="AE62" s="36">
        <f t="shared" si="51"/>
        <v>0</v>
      </c>
      <c r="AF62" s="36">
        <f t="shared" si="52"/>
        <v>0</v>
      </c>
      <c r="AG62" s="36">
        <f t="shared" si="53"/>
        <v>0</v>
      </c>
      <c r="AH62" s="36">
        <f t="shared" si="54"/>
        <v>0</v>
      </c>
      <c r="AI62" s="35" t="s">
        <v>207</v>
      </c>
      <c r="AJ62" s="26">
        <f t="shared" si="55"/>
        <v>0</v>
      </c>
      <c r="AK62" s="26">
        <f t="shared" si="56"/>
        <v>0</v>
      </c>
      <c r="AL62" s="26">
        <f t="shared" si="57"/>
        <v>0</v>
      </c>
      <c r="AN62" s="36">
        <v>21</v>
      </c>
      <c r="AO62" s="36">
        <f>K62*0</f>
        <v>0</v>
      </c>
      <c r="AP62" s="36">
        <f>K62*(1-0)</f>
        <v>0</v>
      </c>
      <c r="AQ62" s="37" t="s">
        <v>13</v>
      </c>
      <c r="AV62" s="36">
        <f t="shared" si="58"/>
        <v>0</v>
      </c>
      <c r="AW62" s="36">
        <f t="shared" si="59"/>
        <v>0</v>
      </c>
      <c r="AX62" s="36">
        <f t="shared" si="60"/>
        <v>0</v>
      </c>
      <c r="AY62" s="39" t="s">
        <v>493</v>
      </c>
      <c r="AZ62" s="39" t="s">
        <v>507</v>
      </c>
      <c r="BA62" s="35" t="s">
        <v>520</v>
      </c>
      <c r="BC62" s="36">
        <f t="shared" si="61"/>
        <v>0</v>
      </c>
      <c r="BD62" s="36">
        <f t="shared" si="62"/>
        <v>0</v>
      </c>
      <c r="BE62" s="36">
        <v>0</v>
      </c>
      <c r="BF62" s="36">
        <f>62</f>
        <v>62</v>
      </c>
      <c r="BH62" s="26">
        <f t="shared" si="63"/>
        <v>0</v>
      </c>
      <c r="BI62" s="26">
        <f t="shared" si="64"/>
        <v>0</v>
      </c>
      <c r="BJ62" s="26">
        <f t="shared" si="65"/>
        <v>0</v>
      </c>
      <c r="BK62" s="26" t="s">
        <v>526</v>
      </c>
      <c r="BL62" s="36">
        <v>722</v>
      </c>
    </row>
    <row r="63" spans="1:64" ht="12.75">
      <c r="A63" s="5" t="s">
        <v>47</v>
      </c>
      <c r="B63" s="16" t="s">
        <v>207</v>
      </c>
      <c r="C63" s="16" t="s">
        <v>254</v>
      </c>
      <c r="D63" s="127" t="s">
        <v>377</v>
      </c>
      <c r="E63" s="128"/>
      <c r="F63" s="128"/>
      <c r="G63" s="128"/>
      <c r="H63" s="128"/>
      <c r="I63" s="16" t="s">
        <v>462</v>
      </c>
      <c r="J63" s="26">
        <v>4</v>
      </c>
      <c r="K63" s="26">
        <v>0</v>
      </c>
      <c r="L63" s="26">
        <f t="shared" si="44"/>
        <v>0</v>
      </c>
      <c r="M63" s="26">
        <f t="shared" si="45"/>
        <v>0</v>
      </c>
      <c r="N63" s="46">
        <f t="shared" si="46"/>
        <v>0</v>
      </c>
      <c r="O63" s="7"/>
      <c r="Z63" s="36">
        <f t="shared" si="47"/>
        <v>0</v>
      </c>
      <c r="AB63" s="36">
        <f t="shared" si="48"/>
        <v>0</v>
      </c>
      <c r="AC63" s="36">
        <f t="shared" si="49"/>
        <v>0</v>
      </c>
      <c r="AD63" s="36">
        <f t="shared" si="50"/>
        <v>0</v>
      </c>
      <c r="AE63" s="36">
        <f t="shared" si="51"/>
        <v>0</v>
      </c>
      <c r="AF63" s="36">
        <f t="shared" si="52"/>
        <v>0</v>
      </c>
      <c r="AG63" s="36">
        <f t="shared" si="53"/>
        <v>0</v>
      </c>
      <c r="AH63" s="36">
        <f t="shared" si="54"/>
        <v>0</v>
      </c>
      <c r="AI63" s="35" t="s">
        <v>207</v>
      </c>
      <c r="AJ63" s="26">
        <f t="shared" si="55"/>
        <v>0</v>
      </c>
      <c r="AK63" s="26">
        <f t="shared" si="56"/>
        <v>0</v>
      </c>
      <c r="AL63" s="26">
        <f t="shared" si="57"/>
        <v>0</v>
      </c>
      <c r="AN63" s="36">
        <v>21</v>
      </c>
      <c r="AO63" s="36">
        <f>K63*0.462041467304625</f>
        <v>0</v>
      </c>
      <c r="AP63" s="36">
        <f>K63*(1-0.462041467304625)</f>
        <v>0</v>
      </c>
      <c r="AQ63" s="37" t="s">
        <v>13</v>
      </c>
      <c r="AV63" s="36">
        <f t="shared" si="58"/>
        <v>0</v>
      </c>
      <c r="AW63" s="36">
        <f t="shared" si="59"/>
        <v>0</v>
      </c>
      <c r="AX63" s="36">
        <f t="shared" si="60"/>
        <v>0</v>
      </c>
      <c r="AY63" s="39" t="s">
        <v>493</v>
      </c>
      <c r="AZ63" s="39" t="s">
        <v>507</v>
      </c>
      <c r="BA63" s="35" t="s">
        <v>520</v>
      </c>
      <c r="BC63" s="36">
        <f t="shared" si="61"/>
        <v>0</v>
      </c>
      <c r="BD63" s="36">
        <f t="shared" si="62"/>
        <v>0</v>
      </c>
      <c r="BE63" s="36">
        <v>0</v>
      </c>
      <c r="BF63" s="36">
        <f>63</f>
        <v>63</v>
      </c>
      <c r="BH63" s="26">
        <f t="shared" si="63"/>
        <v>0</v>
      </c>
      <c r="BI63" s="26">
        <f t="shared" si="64"/>
        <v>0</v>
      </c>
      <c r="BJ63" s="26">
        <f t="shared" si="65"/>
        <v>0</v>
      </c>
      <c r="BK63" s="26" t="s">
        <v>526</v>
      </c>
      <c r="BL63" s="36">
        <v>722</v>
      </c>
    </row>
    <row r="64" spans="1:64" ht="12.75">
      <c r="A64" s="5" t="s">
        <v>48</v>
      </c>
      <c r="B64" s="16" t="s">
        <v>207</v>
      </c>
      <c r="C64" s="16" t="s">
        <v>255</v>
      </c>
      <c r="D64" s="127" t="s">
        <v>378</v>
      </c>
      <c r="E64" s="128"/>
      <c r="F64" s="128"/>
      <c r="G64" s="128"/>
      <c r="H64" s="128"/>
      <c r="I64" s="16" t="s">
        <v>466</v>
      </c>
      <c r="J64" s="26">
        <v>4</v>
      </c>
      <c r="K64" s="26">
        <v>0</v>
      </c>
      <c r="L64" s="26">
        <f t="shared" si="44"/>
        <v>0</v>
      </c>
      <c r="M64" s="26">
        <f t="shared" si="45"/>
        <v>0</v>
      </c>
      <c r="N64" s="46">
        <f t="shared" si="46"/>
        <v>0</v>
      </c>
      <c r="O64" s="7"/>
      <c r="Z64" s="36">
        <f t="shared" si="47"/>
        <v>0</v>
      </c>
      <c r="AB64" s="36">
        <f t="shared" si="48"/>
        <v>0</v>
      </c>
      <c r="AC64" s="36">
        <f t="shared" si="49"/>
        <v>0</v>
      </c>
      <c r="AD64" s="36">
        <f t="shared" si="50"/>
        <v>0</v>
      </c>
      <c r="AE64" s="36">
        <f t="shared" si="51"/>
        <v>0</v>
      </c>
      <c r="AF64" s="36">
        <f t="shared" si="52"/>
        <v>0</v>
      </c>
      <c r="AG64" s="36">
        <f t="shared" si="53"/>
        <v>0</v>
      </c>
      <c r="AH64" s="36">
        <f t="shared" si="54"/>
        <v>0</v>
      </c>
      <c r="AI64" s="35" t="s">
        <v>207</v>
      </c>
      <c r="AJ64" s="26">
        <f t="shared" si="55"/>
        <v>0</v>
      </c>
      <c r="AK64" s="26">
        <f t="shared" si="56"/>
        <v>0</v>
      </c>
      <c r="AL64" s="26">
        <f t="shared" si="57"/>
        <v>0</v>
      </c>
      <c r="AN64" s="36">
        <v>21</v>
      </c>
      <c r="AO64" s="36">
        <f>K64*0.892657534246575</f>
        <v>0</v>
      </c>
      <c r="AP64" s="36">
        <f>K64*(1-0.892657534246575)</f>
        <v>0</v>
      </c>
      <c r="AQ64" s="37" t="s">
        <v>13</v>
      </c>
      <c r="AV64" s="36">
        <f t="shared" si="58"/>
        <v>0</v>
      </c>
      <c r="AW64" s="36">
        <f t="shared" si="59"/>
        <v>0</v>
      </c>
      <c r="AX64" s="36">
        <f t="shared" si="60"/>
        <v>0</v>
      </c>
      <c r="AY64" s="39" t="s">
        <v>493</v>
      </c>
      <c r="AZ64" s="39" t="s">
        <v>507</v>
      </c>
      <c r="BA64" s="35" t="s">
        <v>520</v>
      </c>
      <c r="BC64" s="36">
        <f t="shared" si="61"/>
        <v>0</v>
      </c>
      <c r="BD64" s="36">
        <f t="shared" si="62"/>
        <v>0</v>
      </c>
      <c r="BE64" s="36">
        <v>0</v>
      </c>
      <c r="BF64" s="36">
        <f>64</f>
        <v>64</v>
      </c>
      <c r="BH64" s="26">
        <f t="shared" si="63"/>
        <v>0</v>
      </c>
      <c r="BI64" s="26">
        <f t="shared" si="64"/>
        <v>0</v>
      </c>
      <c r="BJ64" s="26">
        <f t="shared" si="65"/>
        <v>0</v>
      </c>
      <c r="BK64" s="26" t="s">
        <v>526</v>
      </c>
      <c r="BL64" s="36">
        <v>722</v>
      </c>
    </row>
    <row r="65" spans="1:64" ht="12.75">
      <c r="A65" s="6" t="s">
        <v>49</v>
      </c>
      <c r="B65" s="17" t="s">
        <v>207</v>
      </c>
      <c r="C65" s="17" t="s">
        <v>256</v>
      </c>
      <c r="D65" s="133" t="s">
        <v>379</v>
      </c>
      <c r="E65" s="134"/>
      <c r="F65" s="134"/>
      <c r="G65" s="134"/>
      <c r="H65" s="134"/>
      <c r="I65" s="17" t="s">
        <v>462</v>
      </c>
      <c r="J65" s="27">
        <v>4</v>
      </c>
      <c r="K65" s="27">
        <v>0</v>
      </c>
      <c r="L65" s="27">
        <f t="shared" si="44"/>
        <v>0</v>
      </c>
      <c r="M65" s="27">
        <f t="shared" si="45"/>
        <v>0</v>
      </c>
      <c r="N65" s="47">
        <f t="shared" si="46"/>
        <v>0</v>
      </c>
      <c r="O65" s="7"/>
      <c r="Z65" s="36">
        <f t="shared" si="47"/>
        <v>0</v>
      </c>
      <c r="AB65" s="36">
        <f t="shared" si="48"/>
        <v>0</v>
      </c>
      <c r="AC65" s="36">
        <f t="shared" si="49"/>
        <v>0</v>
      </c>
      <c r="AD65" s="36">
        <f t="shared" si="50"/>
        <v>0</v>
      </c>
      <c r="AE65" s="36">
        <f t="shared" si="51"/>
        <v>0</v>
      </c>
      <c r="AF65" s="36">
        <f t="shared" si="52"/>
        <v>0</v>
      </c>
      <c r="AG65" s="36">
        <f t="shared" si="53"/>
        <v>0</v>
      </c>
      <c r="AH65" s="36">
        <f t="shared" si="54"/>
        <v>0</v>
      </c>
      <c r="AI65" s="35" t="s">
        <v>207</v>
      </c>
      <c r="AJ65" s="27">
        <f t="shared" si="55"/>
        <v>0</v>
      </c>
      <c r="AK65" s="27">
        <f t="shared" si="56"/>
        <v>0</v>
      </c>
      <c r="AL65" s="27">
        <f t="shared" si="57"/>
        <v>0</v>
      </c>
      <c r="AN65" s="36">
        <v>21</v>
      </c>
      <c r="AO65" s="36">
        <f>K65*1</f>
        <v>0</v>
      </c>
      <c r="AP65" s="36">
        <f>K65*(1-1)</f>
        <v>0</v>
      </c>
      <c r="AQ65" s="38" t="s">
        <v>13</v>
      </c>
      <c r="AV65" s="36">
        <f t="shared" si="58"/>
        <v>0</v>
      </c>
      <c r="AW65" s="36">
        <f t="shared" si="59"/>
        <v>0</v>
      </c>
      <c r="AX65" s="36">
        <f t="shared" si="60"/>
        <v>0</v>
      </c>
      <c r="AY65" s="39" t="s">
        <v>493</v>
      </c>
      <c r="AZ65" s="39" t="s">
        <v>507</v>
      </c>
      <c r="BA65" s="35" t="s">
        <v>520</v>
      </c>
      <c r="BC65" s="36">
        <f t="shared" si="61"/>
        <v>0</v>
      </c>
      <c r="BD65" s="36">
        <f t="shared" si="62"/>
        <v>0</v>
      </c>
      <c r="BE65" s="36">
        <v>0</v>
      </c>
      <c r="BF65" s="36">
        <f>65</f>
        <v>65</v>
      </c>
      <c r="BH65" s="27">
        <f t="shared" si="63"/>
        <v>0</v>
      </c>
      <c r="BI65" s="27">
        <f t="shared" si="64"/>
        <v>0</v>
      </c>
      <c r="BJ65" s="27">
        <f t="shared" si="65"/>
        <v>0</v>
      </c>
      <c r="BK65" s="27" t="s">
        <v>527</v>
      </c>
      <c r="BL65" s="36">
        <v>722</v>
      </c>
    </row>
    <row r="66" spans="1:64" ht="12.75">
      <c r="A66" s="5" t="s">
        <v>50</v>
      </c>
      <c r="B66" s="16" t="s">
        <v>207</v>
      </c>
      <c r="C66" s="16" t="s">
        <v>257</v>
      </c>
      <c r="D66" s="127" t="s">
        <v>380</v>
      </c>
      <c r="E66" s="128"/>
      <c r="F66" s="128"/>
      <c r="G66" s="128"/>
      <c r="H66" s="128"/>
      <c r="I66" s="16" t="s">
        <v>466</v>
      </c>
      <c r="J66" s="26">
        <v>3</v>
      </c>
      <c r="K66" s="26">
        <v>0</v>
      </c>
      <c r="L66" s="26">
        <f t="shared" si="44"/>
        <v>0</v>
      </c>
      <c r="M66" s="26">
        <f t="shared" si="45"/>
        <v>0</v>
      </c>
      <c r="N66" s="46">
        <f t="shared" si="46"/>
        <v>0</v>
      </c>
      <c r="O66" s="7"/>
      <c r="Z66" s="36">
        <f t="shared" si="47"/>
        <v>0</v>
      </c>
      <c r="AB66" s="36">
        <f t="shared" si="48"/>
        <v>0</v>
      </c>
      <c r="AC66" s="36">
        <f t="shared" si="49"/>
        <v>0</v>
      </c>
      <c r="AD66" s="36">
        <f t="shared" si="50"/>
        <v>0</v>
      </c>
      <c r="AE66" s="36">
        <f t="shared" si="51"/>
        <v>0</v>
      </c>
      <c r="AF66" s="36">
        <f t="shared" si="52"/>
        <v>0</v>
      </c>
      <c r="AG66" s="36">
        <f t="shared" si="53"/>
        <v>0</v>
      </c>
      <c r="AH66" s="36">
        <f t="shared" si="54"/>
        <v>0</v>
      </c>
      <c r="AI66" s="35" t="s">
        <v>207</v>
      </c>
      <c r="AJ66" s="26">
        <f t="shared" si="55"/>
        <v>0</v>
      </c>
      <c r="AK66" s="26">
        <f t="shared" si="56"/>
        <v>0</v>
      </c>
      <c r="AL66" s="26">
        <f t="shared" si="57"/>
        <v>0</v>
      </c>
      <c r="AN66" s="36">
        <v>21</v>
      </c>
      <c r="AO66" s="36">
        <f>K66*0</f>
        <v>0</v>
      </c>
      <c r="AP66" s="36">
        <f>K66*(1-0)</f>
        <v>0</v>
      </c>
      <c r="AQ66" s="37" t="s">
        <v>13</v>
      </c>
      <c r="AV66" s="36">
        <f t="shared" si="58"/>
        <v>0</v>
      </c>
      <c r="AW66" s="36">
        <f t="shared" si="59"/>
        <v>0</v>
      </c>
      <c r="AX66" s="36">
        <f t="shared" si="60"/>
        <v>0</v>
      </c>
      <c r="AY66" s="39" t="s">
        <v>493</v>
      </c>
      <c r="AZ66" s="39" t="s">
        <v>507</v>
      </c>
      <c r="BA66" s="35" t="s">
        <v>520</v>
      </c>
      <c r="BC66" s="36">
        <f t="shared" si="61"/>
        <v>0</v>
      </c>
      <c r="BD66" s="36">
        <f t="shared" si="62"/>
        <v>0</v>
      </c>
      <c r="BE66" s="36">
        <v>0</v>
      </c>
      <c r="BF66" s="36">
        <f>66</f>
        <v>66</v>
      </c>
      <c r="BH66" s="26">
        <f t="shared" si="63"/>
        <v>0</v>
      </c>
      <c r="BI66" s="26">
        <f t="shared" si="64"/>
        <v>0</v>
      </c>
      <c r="BJ66" s="26">
        <f t="shared" si="65"/>
        <v>0</v>
      </c>
      <c r="BK66" s="26" t="s">
        <v>526</v>
      </c>
      <c r="BL66" s="36">
        <v>722</v>
      </c>
    </row>
    <row r="67" spans="1:64" ht="12.75">
      <c r="A67" s="5" t="s">
        <v>51</v>
      </c>
      <c r="B67" s="16" t="s">
        <v>207</v>
      </c>
      <c r="C67" s="16" t="s">
        <v>258</v>
      </c>
      <c r="D67" s="127" t="s">
        <v>381</v>
      </c>
      <c r="E67" s="128"/>
      <c r="F67" s="128"/>
      <c r="G67" s="128"/>
      <c r="H67" s="128"/>
      <c r="I67" s="16" t="s">
        <v>466</v>
      </c>
      <c r="J67" s="26">
        <v>3</v>
      </c>
      <c r="K67" s="26">
        <v>0</v>
      </c>
      <c r="L67" s="26">
        <f t="shared" si="44"/>
        <v>0</v>
      </c>
      <c r="M67" s="26">
        <f t="shared" si="45"/>
        <v>0</v>
      </c>
      <c r="N67" s="46">
        <f t="shared" si="46"/>
        <v>0</v>
      </c>
      <c r="O67" s="7"/>
      <c r="Z67" s="36">
        <f t="shared" si="47"/>
        <v>0</v>
      </c>
      <c r="AB67" s="36">
        <f t="shared" si="48"/>
        <v>0</v>
      </c>
      <c r="AC67" s="36">
        <f t="shared" si="49"/>
        <v>0</v>
      </c>
      <c r="AD67" s="36">
        <f t="shared" si="50"/>
        <v>0</v>
      </c>
      <c r="AE67" s="36">
        <f t="shared" si="51"/>
        <v>0</v>
      </c>
      <c r="AF67" s="36">
        <f t="shared" si="52"/>
        <v>0</v>
      </c>
      <c r="AG67" s="36">
        <f t="shared" si="53"/>
        <v>0</v>
      </c>
      <c r="AH67" s="36">
        <f t="shared" si="54"/>
        <v>0</v>
      </c>
      <c r="AI67" s="35" t="s">
        <v>207</v>
      </c>
      <c r="AJ67" s="26">
        <f t="shared" si="55"/>
        <v>0</v>
      </c>
      <c r="AK67" s="26">
        <f t="shared" si="56"/>
        <v>0</v>
      </c>
      <c r="AL67" s="26">
        <f t="shared" si="57"/>
        <v>0</v>
      </c>
      <c r="AN67" s="36">
        <v>21</v>
      </c>
      <c r="AO67" s="36">
        <f>K67*0.146013986013986</f>
        <v>0</v>
      </c>
      <c r="AP67" s="36">
        <f>K67*(1-0.146013986013986)</f>
        <v>0</v>
      </c>
      <c r="AQ67" s="37" t="s">
        <v>13</v>
      </c>
      <c r="AV67" s="36">
        <f t="shared" si="58"/>
        <v>0</v>
      </c>
      <c r="AW67" s="36">
        <f t="shared" si="59"/>
        <v>0</v>
      </c>
      <c r="AX67" s="36">
        <f t="shared" si="60"/>
        <v>0</v>
      </c>
      <c r="AY67" s="39" t="s">
        <v>493</v>
      </c>
      <c r="AZ67" s="39" t="s">
        <v>507</v>
      </c>
      <c r="BA67" s="35" t="s">
        <v>520</v>
      </c>
      <c r="BC67" s="36">
        <f t="shared" si="61"/>
        <v>0</v>
      </c>
      <c r="BD67" s="36">
        <f t="shared" si="62"/>
        <v>0</v>
      </c>
      <c r="BE67" s="36">
        <v>0</v>
      </c>
      <c r="BF67" s="36">
        <f>67</f>
        <v>67</v>
      </c>
      <c r="BH67" s="26">
        <f t="shared" si="63"/>
        <v>0</v>
      </c>
      <c r="BI67" s="26">
        <f t="shared" si="64"/>
        <v>0</v>
      </c>
      <c r="BJ67" s="26">
        <f t="shared" si="65"/>
        <v>0</v>
      </c>
      <c r="BK67" s="26" t="s">
        <v>526</v>
      </c>
      <c r="BL67" s="36">
        <v>722</v>
      </c>
    </row>
    <row r="68" spans="1:64" ht="12.75">
      <c r="A68" s="5" t="s">
        <v>52</v>
      </c>
      <c r="B68" s="16" t="s">
        <v>207</v>
      </c>
      <c r="C68" s="16" t="s">
        <v>259</v>
      </c>
      <c r="D68" s="127" t="s">
        <v>382</v>
      </c>
      <c r="E68" s="128"/>
      <c r="F68" s="128"/>
      <c r="G68" s="128"/>
      <c r="H68" s="128"/>
      <c r="I68" s="16" t="s">
        <v>462</v>
      </c>
      <c r="J68" s="26">
        <v>3</v>
      </c>
      <c r="K68" s="26">
        <v>0</v>
      </c>
      <c r="L68" s="26">
        <f t="shared" si="44"/>
        <v>0</v>
      </c>
      <c r="M68" s="26">
        <f t="shared" si="45"/>
        <v>0</v>
      </c>
      <c r="N68" s="46">
        <f t="shared" si="46"/>
        <v>0</v>
      </c>
      <c r="O68" s="7"/>
      <c r="Z68" s="36">
        <f t="shared" si="47"/>
        <v>0</v>
      </c>
      <c r="AB68" s="36">
        <f t="shared" si="48"/>
        <v>0</v>
      </c>
      <c r="AC68" s="36">
        <f t="shared" si="49"/>
        <v>0</v>
      </c>
      <c r="AD68" s="36">
        <f t="shared" si="50"/>
        <v>0</v>
      </c>
      <c r="AE68" s="36">
        <f t="shared" si="51"/>
        <v>0</v>
      </c>
      <c r="AF68" s="36">
        <f t="shared" si="52"/>
        <v>0</v>
      </c>
      <c r="AG68" s="36">
        <f t="shared" si="53"/>
        <v>0</v>
      </c>
      <c r="AH68" s="36">
        <f t="shared" si="54"/>
        <v>0</v>
      </c>
      <c r="AI68" s="35" t="s">
        <v>207</v>
      </c>
      <c r="AJ68" s="26">
        <f t="shared" si="55"/>
        <v>0</v>
      </c>
      <c r="AK68" s="26">
        <f t="shared" si="56"/>
        <v>0</v>
      </c>
      <c r="AL68" s="26">
        <f t="shared" si="57"/>
        <v>0</v>
      </c>
      <c r="AN68" s="36">
        <v>21</v>
      </c>
      <c r="AO68" s="36">
        <f>K68*0.149209157127992</f>
        <v>0</v>
      </c>
      <c r="AP68" s="36">
        <f>K68*(1-0.149209157127992)</f>
        <v>0</v>
      </c>
      <c r="AQ68" s="37" t="s">
        <v>13</v>
      </c>
      <c r="AV68" s="36">
        <f t="shared" si="58"/>
        <v>0</v>
      </c>
      <c r="AW68" s="36">
        <f t="shared" si="59"/>
        <v>0</v>
      </c>
      <c r="AX68" s="36">
        <f t="shared" si="60"/>
        <v>0</v>
      </c>
      <c r="AY68" s="39" t="s">
        <v>493</v>
      </c>
      <c r="AZ68" s="39" t="s">
        <v>507</v>
      </c>
      <c r="BA68" s="35" t="s">
        <v>520</v>
      </c>
      <c r="BC68" s="36">
        <f t="shared" si="61"/>
        <v>0</v>
      </c>
      <c r="BD68" s="36">
        <f t="shared" si="62"/>
        <v>0</v>
      </c>
      <c r="BE68" s="36">
        <v>0</v>
      </c>
      <c r="BF68" s="36">
        <f>68</f>
        <v>68</v>
      </c>
      <c r="BH68" s="26">
        <f t="shared" si="63"/>
        <v>0</v>
      </c>
      <c r="BI68" s="26">
        <f t="shared" si="64"/>
        <v>0</v>
      </c>
      <c r="BJ68" s="26">
        <f t="shared" si="65"/>
        <v>0</v>
      </c>
      <c r="BK68" s="26" t="s">
        <v>526</v>
      </c>
      <c r="BL68" s="36">
        <v>722</v>
      </c>
    </row>
    <row r="69" spans="1:64" ht="12.75">
      <c r="A69" s="6" t="s">
        <v>53</v>
      </c>
      <c r="B69" s="17" t="s">
        <v>207</v>
      </c>
      <c r="C69" s="17" t="s">
        <v>260</v>
      </c>
      <c r="D69" s="133" t="s">
        <v>383</v>
      </c>
      <c r="E69" s="134"/>
      <c r="F69" s="134"/>
      <c r="G69" s="134"/>
      <c r="H69" s="134"/>
      <c r="I69" s="17" t="s">
        <v>462</v>
      </c>
      <c r="J69" s="27">
        <v>3</v>
      </c>
      <c r="K69" s="27">
        <v>0</v>
      </c>
      <c r="L69" s="27">
        <f t="shared" si="44"/>
        <v>0</v>
      </c>
      <c r="M69" s="27">
        <f t="shared" si="45"/>
        <v>0</v>
      </c>
      <c r="N69" s="47">
        <f t="shared" si="46"/>
        <v>0</v>
      </c>
      <c r="O69" s="7"/>
      <c r="Z69" s="36">
        <f t="shared" si="47"/>
        <v>0</v>
      </c>
      <c r="AB69" s="36">
        <f t="shared" si="48"/>
        <v>0</v>
      </c>
      <c r="AC69" s="36">
        <f t="shared" si="49"/>
        <v>0</v>
      </c>
      <c r="AD69" s="36">
        <f t="shared" si="50"/>
        <v>0</v>
      </c>
      <c r="AE69" s="36">
        <f t="shared" si="51"/>
        <v>0</v>
      </c>
      <c r="AF69" s="36">
        <f t="shared" si="52"/>
        <v>0</v>
      </c>
      <c r="AG69" s="36">
        <f t="shared" si="53"/>
        <v>0</v>
      </c>
      <c r="AH69" s="36">
        <f t="shared" si="54"/>
        <v>0</v>
      </c>
      <c r="AI69" s="35" t="s">
        <v>207</v>
      </c>
      <c r="AJ69" s="27">
        <f t="shared" si="55"/>
        <v>0</v>
      </c>
      <c r="AK69" s="27">
        <f t="shared" si="56"/>
        <v>0</v>
      </c>
      <c r="AL69" s="27">
        <f t="shared" si="57"/>
        <v>0</v>
      </c>
      <c r="AN69" s="36">
        <v>21</v>
      </c>
      <c r="AO69" s="36">
        <f>K69*1</f>
        <v>0</v>
      </c>
      <c r="AP69" s="36">
        <f>K69*(1-1)</f>
        <v>0</v>
      </c>
      <c r="AQ69" s="38" t="s">
        <v>13</v>
      </c>
      <c r="AV69" s="36">
        <f t="shared" si="58"/>
        <v>0</v>
      </c>
      <c r="AW69" s="36">
        <f t="shared" si="59"/>
        <v>0</v>
      </c>
      <c r="AX69" s="36">
        <f t="shared" si="60"/>
        <v>0</v>
      </c>
      <c r="AY69" s="39" t="s">
        <v>493</v>
      </c>
      <c r="AZ69" s="39" t="s">
        <v>507</v>
      </c>
      <c r="BA69" s="35" t="s">
        <v>520</v>
      </c>
      <c r="BC69" s="36">
        <f t="shared" si="61"/>
        <v>0</v>
      </c>
      <c r="BD69" s="36">
        <f t="shared" si="62"/>
        <v>0</v>
      </c>
      <c r="BE69" s="36">
        <v>0</v>
      </c>
      <c r="BF69" s="36">
        <f>69</f>
        <v>69</v>
      </c>
      <c r="BH69" s="27">
        <f t="shared" si="63"/>
        <v>0</v>
      </c>
      <c r="BI69" s="27">
        <f t="shared" si="64"/>
        <v>0</v>
      </c>
      <c r="BJ69" s="27">
        <f t="shared" si="65"/>
        <v>0</v>
      </c>
      <c r="BK69" s="27" t="s">
        <v>527</v>
      </c>
      <c r="BL69" s="36">
        <v>722</v>
      </c>
    </row>
    <row r="70" spans="1:64" ht="12.75">
      <c r="A70" s="6" t="s">
        <v>54</v>
      </c>
      <c r="B70" s="17" t="s">
        <v>207</v>
      </c>
      <c r="C70" s="17" t="s">
        <v>261</v>
      </c>
      <c r="D70" s="133" t="s">
        <v>384</v>
      </c>
      <c r="E70" s="134"/>
      <c r="F70" s="134"/>
      <c r="G70" s="134"/>
      <c r="H70" s="134"/>
      <c r="I70" s="17" t="s">
        <v>462</v>
      </c>
      <c r="J70" s="27">
        <v>3</v>
      </c>
      <c r="K70" s="27">
        <v>0</v>
      </c>
      <c r="L70" s="27">
        <f t="shared" si="44"/>
        <v>0</v>
      </c>
      <c r="M70" s="27">
        <f t="shared" si="45"/>
        <v>0</v>
      </c>
      <c r="N70" s="47">
        <f t="shared" si="46"/>
        <v>0</v>
      </c>
      <c r="O70" s="7"/>
      <c r="Z70" s="36">
        <f t="shared" si="47"/>
        <v>0</v>
      </c>
      <c r="AB70" s="36">
        <f t="shared" si="48"/>
        <v>0</v>
      </c>
      <c r="AC70" s="36">
        <f t="shared" si="49"/>
        <v>0</v>
      </c>
      <c r="AD70" s="36">
        <f t="shared" si="50"/>
        <v>0</v>
      </c>
      <c r="AE70" s="36">
        <f t="shared" si="51"/>
        <v>0</v>
      </c>
      <c r="AF70" s="36">
        <f t="shared" si="52"/>
        <v>0</v>
      </c>
      <c r="AG70" s="36">
        <f t="shared" si="53"/>
        <v>0</v>
      </c>
      <c r="AH70" s="36">
        <f t="shared" si="54"/>
        <v>0</v>
      </c>
      <c r="AI70" s="35" t="s">
        <v>207</v>
      </c>
      <c r="AJ70" s="27">
        <f t="shared" si="55"/>
        <v>0</v>
      </c>
      <c r="AK70" s="27">
        <f t="shared" si="56"/>
        <v>0</v>
      </c>
      <c r="AL70" s="27">
        <f t="shared" si="57"/>
        <v>0</v>
      </c>
      <c r="AN70" s="36">
        <v>21</v>
      </c>
      <c r="AO70" s="36">
        <f>K70*1</f>
        <v>0</v>
      </c>
      <c r="AP70" s="36">
        <f>K70*(1-1)</f>
        <v>0</v>
      </c>
      <c r="AQ70" s="38" t="s">
        <v>13</v>
      </c>
      <c r="AV70" s="36">
        <f t="shared" si="58"/>
        <v>0</v>
      </c>
      <c r="AW70" s="36">
        <f t="shared" si="59"/>
        <v>0</v>
      </c>
      <c r="AX70" s="36">
        <f t="shared" si="60"/>
        <v>0</v>
      </c>
      <c r="AY70" s="39" t="s">
        <v>493</v>
      </c>
      <c r="AZ70" s="39" t="s">
        <v>507</v>
      </c>
      <c r="BA70" s="35" t="s">
        <v>520</v>
      </c>
      <c r="BC70" s="36">
        <f t="shared" si="61"/>
        <v>0</v>
      </c>
      <c r="BD70" s="36">
        <f t="shared" si="62"/>
        <v>0</v>
      </c>
      <c r="BE70" s="36">
        <v>0</v>
      </c>
      <c r="BF70" s="36">
        <f>70</f>
        <v>70</v>
      </c>
      <c r="BH70" s="27">
        <f t="shared" si="63"/>
        <v>0</v>
      </c>
      <c r="BI70" s="27">
        <f t="shared" si="64"/>
        <v>0</v>
      </c>
      <c r="BJ70" s="27">
        <f t="shared" si="65"/>
        <v>0</v>
      </c>
      <c r="BK70" s="27" t="s">
        <v>527</v>
      </c>
      <c r="BL70" s="36">
        <v>722</v>
      </c>
    </row>
    <row r="71" spans="1:64" ht="12.75">
      <c r="A71" s="5" t="s">
        <v>55</v>
      </c>
      <c r="B71" s="16" t="s">
        <v>207</v>
      </c>
      <c r="C71" s="16" t="s">
        <v>262</v>
      </c>
      <c r="D71" s="127" t="s">
        <v>385</v>
      </c>
      <c r="E71" s="128"/>
      <c r="F71" s="128"/>
      <c r="G71" s="128"/>
      <c r="H71" s="128"/>
      <c r="I71" s="16" t="s">
        <v>462</v>
      </c>
      <c r="J71" s="26">
        <v>2</v>
      </c>
      <c r="K71" s="26">
        <v>0</v>
      </c>
      <c r="L71" s="26">
        <f t="shared" si="44"/>
        <v>0</v>
      </c>
      <c r="M71" s="26">
        <f t="shared" si="45"/>
        <v>0</v>
      </c>
      <c r="N71" s="46">
        <f t="shared" si="46"/>
        <v>0</v>
      </c>
      <c r="O71" s="7"/>
      <c r="Z71" s="36">
        <f t="shared" si="47"/>
        <v>0</v>
      </c>
      <c r="AB71" s="36">
        <f t="shared" si="48"/>
        <v>0</v>
      </c>
      <c r="AC71" s="36">
        <f t="shared" si="49"/>
        <v>0</v>
      </c>
      <c r="AD71" s="36">
        <f t="shared" si="50"/>
        <v>0</v>
      </c>
      <c r="AE71" s="36">
        <f t="shared" si="51"/>
        <v>0</v>
      </c>
      <c r="AF71" s="36">
        <f t="shared" si="52"/>
        <v>0</v>
      </c>
      <c r="AG71" s="36">
        <f t="shared" si="53"/>
        <v>0</v>
      </c>
      <c r="AH71" s="36">
        <f t="shared" si="54"/>
        <v>0</v>
      </c>
      <c r="AI71" s="35" t="s">
        <v>207</v>
      </c>
      <c r="AJ71" s="26">
        <f t="shared" si="55"/>
        <v>0</v>
      </c>
      <c r="AK71" s="26">
        <f t="shared" si="56"/>
        <v>0</v>
      </c>
      <c r="AL71" s="26">
        <f t="shared" si="57"/>
        <v>0</v>
      </c>
      <c r="AN71" s="36">
        <v>21</v>
      </c>
      <c r="AO71" s="36">
        <f>K71*0.286550056713032</f>
        <v>0</v>
      </c>
      <c r="AP71" s="36">
        <f>K71*(1-0.286550056713032)</f>
        <v>0</v>
      </c>
      <c r="AQ71" s="37" t="s">
        <v>13</v>
      </c>
      <c r="AV71" s="36">
        <f t="shared" si="58"/>
        <v>0</v>
      </c>
      <c r="AW71" s="36">
        <f t="shared" si="59"/>
        <v>0</v>
      </c>
      <c r="AX71" s="36">
        <f t="shared" si="60"/>
        <v>0</v>
      </c>
      <c r="AY71" s="39" t="s">
        <v>493</v>
      </c>
      <c r="AZ71" s="39" t="s">
        <v>507</v>
      </c>
      <c r="BA71" s="35" t="s">
        <v>520</v>
      </c>
      <c r="BC71" s="36">
        <f t="shared" si="61"/>
        <v>0</v>
      </c>
      <c r="BD71" s="36">
        <f t="shared" si="62"/>
        <v>0</v>
      </c>
      <c r="BE71" s="36">
        <v>0</v>
      </c>
      <c r="BF71" s="36">
        <f>71</f>
        <v>71</v>
      </c>
      <c r="BH71" s="26">
        <f t="shared" si="63"/>
        <v>0</v>
      </c>
      <c r="BI71" s="26">
        <f t="shared" si="64"/>
        <v>0</v>
      </c>
      <c r="BJ71" s="26">
        <f t="shared" si="65"/>
        <v>0</v>
      </c>
      <c r="BK71" s="26" t="s">
        <v>526</v>
      </c>
      <c r="BL71" s="36">
        <v>722</v>
      </c>
    </row>
    <row r="72" spans="1:64" ht="12.75">
      <c r="A72" s="5" t="s">
        <v>56</v>
      </c>
      <c r="B72" s="16" t="s">
        <v>207</v>
      </c>
      <c r="C72" s="16" t="s">
        <v>263</v>
      </c>
      <c r="D72" s="127" t="s">
        <v>386</v>
      </c>
      <c r="E72" s="128"/>
      <c r="F72" s="128"/>
      <c r="G72" s="128"/>
      <c r="H72" s="128"/>
      <c r="I72" s="16" t="s">
        <v>466</v>
      </c>
      <c r="J72" s="26">
        <v>2</v>
      </c>
      <c r="K72" s="26">
        <v>0</v>
      </c>
      <c r="L72" s="26">
        <f t="shared" si="44"/>
        <v>0</v>
      </c>
      <c r="M72" s="26">
        <f t="shared" si="45"/>
        <v>0</v>
      </c>
      <c r="N72" s="46">
        <f t="shared" si="46"/>
        <v>0</v>
      </c>
      <c r="O72" s="7"/>
      <c r="Z72" s="36">
        <f t="shared" si="47"/>
        <v>0</v>
      </c>
      <c r="AB72" s="36">
        <f t="shared" si="48"/>
        <v>0</v>
      </c>
      <c r="AC72" s="36">
        <f t="shared" si="49"/>
        <v>0</v>
      </c>
      <c r="AD72" s="36">
        <f t="shared" si="50"/>
        <v>0</v>
      </c>
      <c r="AE72" s="36">
        <f t="shared" si="51"/>
        <v>0</v>
      </c>
      <c r="AF72" s="36">
        <f t="shared" si="52"/>
        <v>0</v>
      </c>
      <c r="AG72" s="36">
        <f t="shared" si="53"/>
        <v>0</v>
      </c>
      <c r="AH72" s="36">
        <f t="shared" si="54"/>
        <v>0</v>
      </c>
      <c r="AI72" s="35" t="s">
        <v>207</v>
      </c>
      <c r="AJ72" s="26">
        <f t="shared" si="55"/>
        <v>0</v>
      </c>
      <c r="AK72" s="26">
        <f t="shared" si="56"/>
        <v>0</v>
      </c>
      <c r="AL72" s="26">
        <f t="shared" si="57"/>
        <v>0</v>
      </c>
      <c r="AN72" s="36">
        <v>21</v>
      </c>
      <c r="AO72" s="36">
        <f>K72*0.861210916152138</f>
        <v>0</v>
      </c>
      <c r="AP72" s="36">
        <f>K72*(1-0.861210916152138)</f>
        <v>0</v>
      </c>
      <c r="AQ72" s="37" t="s">
        <v>13</v>
      </c>
      <c r="AV72" s="36">
        <f t="shared" si="58"/>
        <v>0</v>
      </c>
      <c r="AW72" s="36">
        <f t="shared" si="59"/>
        <v>0</v>
      </c>
      <c r="AX72" s="36">
        <f t="shared" si="60"/>
        <v>0</v>
      </c>
      <c r="AY72" s="39" t="s">
        <v>493</v>
      </c>
      <c r="AZ72" s="39" t="s">
        <v>507</v>
      </c>
      <c r="BA72" s="35" t="s">
        <v>520</v>
      </c>
      <c r="BC72" s="36">
        <f t="shared" si="61"/>
        <v>0</v>
      </c>
      <c r="BD72" s="36">
        <f t="shared" si="62"/>
        <v>0</v>
      </c>
      <c r="BE72" s="36">
        <v>0</v>
      </c>
      <c r="BF72" s="36">
        <f>72</f>
        <v>72</v>
      </c>
      <c r="BH72" s="26">
        <f t="shared" si="63"/>
        <v>0</v>
      </c>
      <c r="BI72" s="26">
        <f t="shared" si="64"/>
        <v>0</v>
      </c>
      <c r="BJ72" s="26">
        <f t="shared" si="65"/>
        <v>0</v>
      </c>
      <c r="BK72" s="26" t="s">
        <v>526</v>
      </c>
      <c r="BL72" s="36">
        <v>722</v>
      </c>
    </row>
    <row r="73" spans="1:64" ht="12.75">
      <c r="A73" s="5" t="s">
        <v>57</v>
      </c>
      <c r="B73" s="16" t="s">
        <v>207</v>
      </c>
      <c r="C73" s="16" t="s">
        <v>264</v>
      </c>
      <c r="D73" s="127" t="s">
        <v>387</v>
      </c>
      <c r="E73" s="128"/>
      <c r="F73" s="128"/>
      <c r="G73" s="128"/>
      <c r="H73" s="128"/>
      <c r="I73" s="16" t="s">
        <v>462</v>
      </c>
      <c r="J73" s="26">
        <v>4</v>
      </c>
      <c r="K73" s="26">
        <v>0</v>
      </c>
      <c r="L73" s="26">
        <f t="shared" si="44"/>
        <v>0</v>
      </c>
      <c r="M73" s="26">
        <f t="shared" si="45"/>
        <v>0</v>
      </c>
      <c r="N73" s="46">
        <f t="shared" si="46"/>
        <v>0</v>
      </c>
      <c r="O73" s="7"/>
      <c r="Z73" s="36">
        <f t="shared" si="47"/>
        <v>0</v>
      </c>
      <c r="AB73" s="36">
        <f t="shared" si="48"/>
        <v>0</v>
      </c>
      <c r="AC73" s="36">
        <f t="shared" si="49"/>
        <v>0</v>
      </c>
      <c r="AD73" s="36">
        <f t="shared" si="50"/>
        <v>0</v>
      </c>
      <c r="AE73" s="36">
        <f t="shared" si="51"/>
        <v>0</v>
      </c>
      <c r="AF73" s="36">
        <f t="shared" si="52"/>
        <v>0</v>
      </c>
      <c r="AG73" s="36">
        <f t="shared" si="53"/>
        <v>0</v>
      </c>
      <c r="AH73" s="36">
        <f t="shared" si="54"/>
        <v>0</v>
      </c>
      <c r="AI73" s="35" t="s">
        <v>207</v>
      </c>
      <c r="AJ73" s="26">
        <f t="shared" si="55"/>
        <v>0</v>
      </c>
      <c r="AK73" s="26">
        <f t="shared" si="56"/>
        <v>0</v>
      </c>
      <c r="AL73" s="26">
        <f t="shared" si="57"/>
        <v>0</v>
      </c>
      <c r="AN73" s="36">
        <v>21</v>
      </c>
      <c r="AO73" s="36">
        <f>K73*0.286550056713032</f>
        <v>0</v>
      </c>
      <c r="AP73" s="36">
        <f>K73*(1-0.286550056713032)</f>
        <v>0</v>
      </c>
      <c r="AQ73" s="37" t="s">
        <v>13</v>
      </c>
      <c r="AV73" s="36">
        <f t="shared" si="58"/>
        <v>0</v>
      </c>
      <c r="AW73" s="36">
        <f t="shared" si="59"/>
        <v>0</v>
      </c>
      <c r="AX73" s="36">
        <f t="shared" si="60"/>
        <v>0</v>
      </c>
      <c r="AY73" s="39" t="s">
        <v>493</v>
      </c>
      <c r="AZ73" s="39" t="s">
        <v>507</v>
      </c>
      <c r="BA73" s="35" t="s">
        <v>520</v>
      </c>
      <c r="BC73" s="36">
        <f t="shared" si="61"/>
        <v>0</v>
      </c>
      <c r="BD73" s="36">
        <f t="shared" si="62"/>
        <v>0</v>
      </c>
      <c r="BE73" s="36">
        <v>0</v>
      </c>
      <c r="BF73" s="36">
        <f>73</f>
        <v>73</v>
      </c>
      <c r="BH73" s="26">
        <f t="shared" si="63"/>
        <v>0</v>
      </c>
      <c r="BI73" s="26">
        <f t="shared" si="64"/>
        <v>0</v>
      </c>
      <c r="BJ73" s="26">
        <f t="shared" si="65"/>
        <v>0</v>
      </c>
      <c r="BK73" s="26" t="s">
        <v>526</v>
      </c>
      <c r="BL73" s="36">
        <v>722</v>
      </c>
    </row>
    <row r="74" spans="1:64" ht="12.75">
      <c r="A74" s="5" t="s">
        <v>58</v>
      </c>
      <c r="B74" s="16" t="s">
        <v>207</v>
      </c>
      <c r="C74" s="16" t="s">
        <v>265</v>
      </c>
      <c r="D74" s="127" t="s">
        <v>388</v>
      </c>
      <c r="E74" s="128"/>
      <c r="F74" s="128"/>
      <c r="G74" s="128"/>
      <c r="H74" s="128"/>
      <c r="I74" s="16" t="s">
        <v>466</v>
      </c>
      <c r="J74" s="26">
        <v>2</v>
      </c>
      <c r="K74" s="26">
        <v>0</v>
      </c>
      <c r="L74" s="26">
        <f t="shared" si="44"/>
        <v>0</v>
      </c>
      <c r="M74" s="26">
        <f t="shared" si="45"/>
        <v>0</v>
      </c>
      <c r="N74" s="46">
        <f t="shared" si="46"/>
        <v>0</v>
      </c>
      <c r="O74" s="7"/>
      <c r="Z74" s="36">
        <f t="shared" si="47"/>
        <v>0</v>
      </c>
      <c r="AB74" s="36">
        <f t="shared" si="48"/>
        <v>0</v>
      </c>
      <c r="AC74" s="36">
        <f t="shared" si="49"/>
        <v>0</v>
      </c>
      <c r="AD74" s="36">
        <f t="shared" si="50"/>
        <v>0</v>
      </c>
      <c r="AE74" s="36">
        <f t="shared" si="51"/>
        <v>0</v>
      </c>
      <c r="AF74" s="36">
        <f t="shared" si="52"/>
        <v>0</v>
      </c>
      <c r="AG74" s="36">
        <f t="shared" si="53"/>
        <v>0</v>
      </c>
      <c r="AH74" s="36">
        <f t="shared" si="54"/>
        <v>0</v>
      </c>
      <c r="AI74" s="35" t="s">
        <v>207</v>
      </c>
      <c r="AJ74" s="26">
        <f t="shared" si="55"/>
        <v>0</v>
      </c>
      <c r="AK74" s="26">
        <f t="shared" si="56"/>
        <v>0</v>
      </c>
      <c r="AL74" s="26">
        <f t="shared" si="57"/>
        <v>0</v>
      </c>
      <c r="AN74" s="36">
        <v>21</v>
      </c>
      <c r="AO74" s="36">
        <f>K74*0.939380704008614</f>
        <v>0</v>
      </c>
      <c r="AP74" s="36">
        <f>K74*(1-0.939380704008614)</f>
        <v>0</v>
      </c>
      <c r="AQ74" s="37" t="s">
        <v>13</v>
      </c>
      <c r="AV74" s="36">
        <f t="shared" si="58"/>
        <v>0</v>
      </c>
      <c r="AW74" s="36">
        <f t="shared" si="59"/>
        <v>0</v>
      </c>
      <c r="AX74" s="36">
        <f t="shared" si="60"/>
        <v>0</v>
      </c>
      <c r="AY74" s="39" t="s">
        <v>493</v>
      </c>
      <c r="AZ74" s="39" t="s">
        <v>507</v>
      </c>
      <c r="BA74" s="35" t="s">
        <v>520</v>
      </c>
      <c r="BC74" s="36">
        <f t="shared" si="61"/>
        <v>0</v>
      </c>
      <c r="BD74" s="36">
        <f t="shared" si="62"/>
        <v>0</v>
      </c>
      <c r="BE74" s="36">
        <v>0</v>
      </c>
      <c r="BF74" s="36">
        <f>74</f>
        <v>74</v>
      </c>
      <c r="BH74" s="26">
        <f t="shared" si="63"/>
        <v>0</v>
      </c>
      <c r="BI74" s="26">
        <f t="shared" si="64"/>
        <v>0</v>
      </c>
      <c r="BJ74" s="26">
        <f t="shared" si="65"/>
        <v>0</v>
      </c>
      <c r="BK74" s="26" t="s">
        <v>526</v>
      </c>
      <c r="BL74" s="36">
        <v>722</v>
      </c>
    </row>
    <row r="75" spans="1:64" ht="12.75">
      <c r="A75" s="5" t="s">
        <v>59</v>
      </c>
      <c r="B75" s="16" t="s">
        <v>207</v>
      </c>
      <c r="C75" s="16" t="s">
        <v>266</v>
      </c>
      <c r="D75" s="127" t="s">
        <v>389</v>
      </c>
      <c r="E75" s="128"/>
      <c r="F75" s="128"/>
      <c r="G75" s="128"/>
      <c r="H75" s="128"/>
      <c r="I75" s="16" t="s">
        <v>466</v>
      </c>
      <c r="J75" s="26">
        <v>2</v>
      </c>
      <c r="K75" s="26">
        <v>0</v>
      </c>
      <c r="L75" s="26">
        <f t="shared" si="44"/>
        <v>0</v>
      </c>
      <c r="M75" s="26">
        <f t="shared" si="45"/>
        <v>0</v>
      </c>
      <c r="N75" s="46">
        <f t="shared" si="46"/>
        <v>0</v>
      </c>
      <c r="O75" s="7"/>
      <c r="Z75" s="36">
        <f t="shared" si="47"/>
        <v>0</v>
      </c>
      <c r="AB75" s="36">
        <f t="shared" si="48"/>
        <v>0</v>
      </c>
      <c r="AC75" s="36">
        <f t="shared" si="49"/>
        <v>0</v>
      </c>
      <c r="AD75" s="36">
        <f t="shared" si="50"/>
        <v>0</v>
      </c>
      <c r="AE75" s="36">
        <f t="shared" si="51"/>
        <v>0</v>
      </c>
      <c r="AF75" s="36">
        <f t="shared" si="52"/>
        <v>0</v>
      </c>
      <c r="AG75" s="36">
        <f t="shared" si="53"/>
        <v>0</v>
      </c>
      <c r="AH75" s="36">
        <f t="shared" si="54"/>
        <v>0</v>
      </c>
      <c r="AI75" s="35" t="s">
        <v>207</v>
      </c>
      <c r="AJ75" s="26">
        <f t="shared" si="55"/>
        <v>0</v>
      </c>
      <c r="AK75" s="26">
        <f t="shared" si="56"/>
        <v>0</v>
      </c>
      <c r="AL75" s="26">
        <f t="shared" si="57"/>
        <v>0</v>
      </c>
      <c r="AN75" s="36">
        <v>21</v>
      </c>
      <c r="AO75" s="36">
        <f>K75*0.954092484259676</f>
        <v>0</v>
      </c>
      <c r="AP75" s="36">
        <f>K75*(1-0.954092484259676)</f>
        <v>0</v>
      </c>
      <c r="AQ75" s="37" t="s">
        <v>13</v>
      </c>
      <c r="AV75" s="36">
        <f t="shared" si="58"/>
        <v>0</v>
      </c>
      <c r="AW75" s="36">
        <f t="shared" si="59"/>
        <v>0</v>
      </c>
      <c r="AX75" s="36">
        <f t="shared" si="60"/>
        <v>0</v>
      </c>
      <c r="AY75" s="39" t="s">
        <v>493</v>
      </c>
      <c r="AZ75" s="39" t="s">
        <v>507</v>
      </c>
      <c r="BA75" s="35" t="s">
        <v>520</v>
      </c>
      <c r="BC75" s="36">
        <f t="shared" si="61"/>
        <v>0</v>
      </c>
      <c r="BD75" s="36">
        <f t="shared" si="62"/>
        <v>0</v>
      </c>
      <c r="BE75" s="36">
        <v>0</v>
      </c>
      <c r="BF75" s="36">
        <f>75</f>
        <v>75</v>
      </c>
      <c r="BH75" s="26">
        <f t="shared" si="63"/>
        <v>0</v>
      </c>
      <c r="BI75" s="26">
        <f t="shared" si="64"/>
        <v>0</v>
      </c>
      <c r="BJ75" s="26">
        <f t="shared" si="65"/>
        <v>0</v>
      </c>
      <c r="BK75" s="26" t="s">
        <v>526</v>
      </c>
      <c r="BL75" s="36">
        <v>722</v>
      </c>
    </row>
    <row r="76" spans="1:64" ht="12.75">
      <c r="A76" s="5" t="s">
        <v>60</v>
      </c>
      <c r="B76" s="16" t="s">
        <v>207</v>
      </c>
      <c r="C76" s="16" t="s">
        <v>267</v>
      </c>
      <c r="D76" s="127" t="s">
        <v>390</v>
      </c>
      <c r="E76" s="128"/>
      <c r="F76" s="128"/>
      <c r="G76" s="128"/>
      <c r="H76" s="128"/>
      <c r="I76" s="16" t="s">
        <v>466</v>
      </c>
      <c r="J76" s="26">
        <v>4</v>
      </c>
      <c r="K76" s="26">
        <v>0</v>
      </c>
      <c r="L76" s="26">
        <f t="shared" si="44"/>
        <v>0</v>
      </c>
      <c r="M76" s="26">
        <f t="shared" si="45"/>
        <v>0</v>
      </c>
      <c r="N76" s="46">
        <f t="shared" si="46"/>
        <v>0</v>
      </c>
      <c r="O76" s="7"/>
      <c r="Z76" s="36">
        <f t="shared" si="47"/>
        <v>0</v>
      </c>
      <c r="AB76" s="36">
        <f t="shared" si="48"/>
        <v>0</v>
      </c>
      <c r="AC76" s="36">
        <f t="shared" si="49"/>
        <v>0</v>
      </c>
      <c r="AD76" s="36">
        <f t="shared" si="50"/>
        <v>0</v>
      </c>
      <c r="AE76" s="36">
        <f t="shared" si="51"/>
        <v>0</v>
      </c>
      <c r="AF76" s="36">
        <f t="shared" si="52"/>
        <v>0</v>
      </c>
      <c r="AG76" s="36">
        <f t="shared" si="53"/>
        <v>0</v>
      </c>
      <c r="AH76" s="36">
        <f t="shared" si="54"/>
        <v>0</v>
      </c>
      <c r="AI76" s="35" t="s">
        <v>207</v>
      </c>
      <c r="AJ76" s="26">
        <f t="shared" si="55"/>
        <v>0</v>
      </c>
      <c r="AK76" s="26">
        <f t="shared" si="56"/>
        <v>0</v>
      </c>
      <c r="AL76" s="26">
        <f t="shared" si="57"/>
        <v>0</v>
      </c>
      <c r="AN76" s="36">
        <v>21</v>
      </c>
      <c r="AO76" s="36">
        <f>K76*0</f>
        <v>0</v>
      </c>
      <c r="AP76" s="36">
        <f>K76*(1-0)</f>
        <v>0</v>
      </c>
      <c r="AQ76" s="37" t="s">
        <v>13</v>
      </c>
      <c r="AV76" s="36">
        <f t="shared" si="58"/>
        <v>0</v>
      </c>
      <c r="AW76" s="36">
        <f t="shared" si="59"/>
        <v>0</v>
      </c>
      <c r="AX76" s="36">
        <f t="shared" si="60"/>
        <v>0</v>
      </c>
      <c r="AY76" s="39" t="s">
        <v>493</v>
      </c>
      <c r="AZ76" s="39" t="s">
        <v>507</v>
      </c>
      <c r="BA76" s="35" t="s">
        <v>520</v>
      </c>
      <c r="BC76" s="36">
        <f t="shared" si="61"/>
        <v>0</v>
      </c>
      <c r="BD76" s="36">
        <f t="shared" si="62"/>
        <v>0</v>
      </c>
      <c r="BE76" s="36">
        <v>0</v>
      </c>
      <c r="BF76" s="36">
        <f>76</f>
        <v>76</v>
      </c>
      <c r="BH76" s="26">
        <f t="shared" si="63"/>
        <v>0</v>
      </c>
      <c r="BI76" s="26">
        <f t="shared" si="64"/>
        <v>0</v>
      </c>
      <c r="BJ76" s="26">
        <f t="shared" si="65"/>
        <v>0</v>
      </c>
      <c r="BK76" s="26" t="s">
        <v>526</v>
      </c>
      <c r="BL76" s="36">
        <v>722</v>
      </c>
    </row>
    <row r="77" spans="1:64" ht="12.75">
      <c r="A77" s="5" t="s">
        <v>61</v>
      </c>
      <c r="B77" s="16" t="s">
        <v>207</v>
      </c>
      <c r="C77" s="16" t="s">
        <v>268</v>
      </c>
      <c r="D77" s="127" t="s">
        <v>391</v>
      </c>
      <c r="E77" s="128"/>
      <c r="F77" s="128"/>
      <c r="G77" s="128"/>
      <c r="H77" s="128"/>
      <c r="I77" s="16" t="s">
        <v>462</v>
      </c>
      <c r="J77" s="26">
        <v>4</v>
      </c>
      <c r="K77" s="26">
        <v>0</v>
      </c>
      <c r="L77" s="26">
        <f t="shared" si="44"/>
        <v>0</v>
      </c>
      <c r="M77" s="26">
        <f t="shared" si="45"/>
        <v>0</v>
      </c>
      <c r="N77" s="46">
        <f t="shared" si="46"/>
        <v>0</v>
      </c>
      <c r="O77" s="7"/>
      <c r="Z77" s="36">
        <f t="shared" si="47"/>
        <v>0</v>
      </c>
      <c r="AB77" s="36">
        <f t="shared" si="48"/>
        <v>0</v>
      </c>
      <c r="AC77" s="36">
        <f t="shared" si="49"/>
        <v>0</v>
      </c>
      <c r="AD77" s="36">
        <f t="shared" si="50"/>
        <v>0</v>
      </c>
      <c r="AE77" s="36">
        <f t="shared" si="51"/>
        <v>0</v>
      </c>
      <c r="AF77" s="36">
        <f t="shared" si="52"/>
        <v>0</v>
      </c>
      <c r="AG77" s="36">
        <f t="shared" si="53"/>
        <v>0</v>
      </c>
      <c r="AH77" s="36">
        <f t="shared" si="54"/>
        <v>0</v>
      </c>
      <c r="AI77" s="35" t="s">
        <v>207</v>
      </c>
      <c r="AJ77" s="26">
        <f t="shared" si="55"/>
        <v>0</v>
      </c>
      <c r="AK77" s="26">
        <f t="shared" si="56"/>
        <v>0</v>
      </c>
      <c r="AL77" s="26">
        <f t="shared" si="57"/>
        <v>0</v>
      </c>
      <c r="AN77" s="36">
        <v>21</v>
      </c>
      <c r="AO77" s="36">
        <f>K77*0.31284248004228</f>
        <v>0</v>
      </c>
      <c r="AP77" s="36">
        <f>K77*(1-0.31284248004228)</f>
        <v>0</v>
      </c>
      <c r="AQ77" s="37" t="s">
        <v>13</v>
      </c>
      <c r="AV77" s="36">
        <f t="shared" si="58"/>
        <v>0</v>
      </c>
      <c r="AW77" s="36">
        <f t="shared" si="59"/>
        <v>0</v>
      </c>
      <c r="AX77" s="36">
        <f t="shared" si="60"/>
        <v>0</v>
      </c>
      <c r="AY77" s="39" t="s">
        <v>493</v>
      </c>
      <c r="AZ77" s="39" t="s">
        <v>507</v>
      </c>
      <c r="BA77" s="35" t="s">
        <v>520</v>
      </c>
      <c r="BC77" s="36">
        <f t="shared" si="61"/>
        <v>0</v>
      </c>
      <c r="BD77" s="36">
        <f t="shared" si="62"/>
        <v>0</v>
      </c>
      <c r="BE77" s="36">
        <v>0</v>
      </c>
      <c r="BF77" s="36">
        <f>77</f>
        <v>77</v>
      </c>
      <c r="BH77" s="26">
        <f t="shared" si="63"/>
        <v>0</v>
      </c>
      <c r="BI77" s="26">
        <f t="shared" si="64"/>
        <v>0</v>
      </c>
      <c r="BJ77" s="26">
        <f t="shared" si="65"/>
        <v>0</v>
      </c>
      <c r="BK77" s="26" t="s">
        <v>526</v>
      </c>
      <c r="BL77" s="36">
        <v>722</v>
      </c>
    </row>
    <row r="78" spans="1:64" ht="12.75">
      <c r="A78" s="5" t="s">
        <v>62</v>
      </c>
      <c r="B78" s="16" t="s">
        <v>207</v>
      </c>
      <c r="C78" s="16" t="s">
        <v>269</v>
      </c>
      <c r="D78" s="127" t="s">
        <v>392</v>
      </c>
      <c r="E78" s="128"/>
      <c r="F78" s="128"/>
      <c r="G78" s="128"/>
      <c r="H78" s="128"/>
      <c r="I78" s="16" t="s">
        <v>462</v>
      </c>
      <c r="J78" s="26">
        <v>4</v>
      </c>
      <c r="K78" s="26">
        <v>0</v>
      </c>
      <c r="L78" s="26">
        <f t="shared" si="44"/>
        <v>0</v>
      </c>
      <c r="M78" s="26">
        <f t="shared" si="45"/>
        <v>0</v>
      </c>
      <c r="N78" s="46">
        <f t="shared" si="46"/>
        <v>0</v>
      </c>
      <c r="O78" s="7"/>
      <c r="Z78" s="36">
        <f t="shared" si="47"/>
        <v>0</v>
      </c>
      <c r="AB78" s="36">
        <f t="shared" si="48"/>
        <v>0</v>
      </c>
      <c r="AC78" s="36">
        <f t="shared" si="49"/>
        <v>0</v>
      </c>
      <c r="AD78" s="36">
        <f t="shared" si="50"/>
        <v>0</v>
      </c>
      <c r="AE78" s="36">
        <f t="shared" si="51"/>
        <v>0</v>
      </c>
      <c r="AF78" s="36">
        <f t="shared" si="52"/>
        <v>0</v>
      </c>
      <c r="AG78" s="36">
        <f t="shared" si="53"/>
        <v>0</v>
      </c>
      <c r="AH78" s="36">
        <f t="shared" si="54"/>
        <v>0</v>
      </c>
      <c r="AI78" s="35" t="s">
        <v>207</v>
      </c>
      <c r="AJ78" s="26">
        <f t="shared" si="55"/>
        <v>0</v>
      </c>
      <c r="AK78" s="26">
        <f t="shared" si="56"/>
        <v>0</v>
      </c>
      <c r="AL78" s="26">
        <f t="shared" si="57"/>
        <v>0</v>
      </c>
      <c r="AN78" s="36">
        <v>21</v>
      </c>
      <c r="AO78" s="36">
        <f>K78*0.902748414376321</f>
        <v>0</v>
      </c>
      <c r="AP78" s="36">
        <f>K78*(1-0.902748414376321)</f>
        <v>0</v>
      </c>
      <c r="AQ78" s="37" t="s">
        <v>13</v>
      </c>
      <c r="AV78" s="36">
        <f t="shared" si="58"/>
        <v>0</v>
      </c>
      <c r="AW78" s="36">
        <f t="shared" si="59"/>
        <v>0</v>
      </c>
      <c r="AX78" s="36">
        <f t="shared" si="60"/>
        <v>0</v>
      </c>
      <c r="AY78" s="39" t="s">
        <v>493</v>
      </c>
      <c r="AZ78" s="39" t="s">
        <v>507</v>
      </c>
      <c r="BA78" s="35" t="s">
        <v>520</v>
      </c>
      <c r="BC78" s="36">
        <f t="shared" si="61"/>
        <v>0</v>
      </c>
      <c r="BD78" s="36">
        <f t="shared" si="62"/>
        <v>0</v>
      </c>
      <c r="BE78" s="36">
        <v>0</v>
      </c>
      <c r="BF78" s="36">
        <f>78</f>
        <v>78</v>
      </c>
      <c r="BH78" s="26">
        <f t="shared" si="63"/>
        <v>0</v>
      </c>
      <c r="BI78" s="26">
        <f t="shared" si="64"/>
        <v>0</v>
      </c>
      <c r="BJ78" s="26">
        <f t="shared" si="65"/>
        <v>0</v>
      </c>
      <c r="BK78" s="26" t="s">
        <v>526</v>
      </c>
      <c r="BL78" s="36">
        <v>722</v>
      </c>
    </row>
    <row r="79" spans="1:64" ht="12.75">
      <c r="A79" s="5" t="s">
        <v>63</v>
      </c>
      <c r="B79" s="16" t="s">
        <v>207</v>
      </c>
      <c r="C79" s="16" t="s">
        <v>270</v>
      </c>
      <c r="D79" s="127" t="s">
        <v>393</v>
      </c>
      <c r="E79" s="128"/>
      <c r="F79" s="128"/>
      <c r="G79" s="128"/>
      <c r="H79" s="128"/>
      <c r="I79" s="16" t="s">
        <v>462</v>
      </c>
      <c r="J79" s="26">
        <v>4</v>
      </c>
      <c r="K79" s="26">
        <v>0</v>
      </c>
      <c r="L79" s="26">
        <f t="shared" si="44"/>
        <v>0</v>
      </c>
      <c r="M79" s="26">
        <f t="shared" si="45"/>
        <v>0</v>
      </c>
      <c r="N79" s="46">
        <f t="shared" si="46"/>
        <v>0</v>
      </c>
      <c r="O79" s="7"/>
      <c r="Z79" s="36">
        <f t="shared" si="47"/>
        <v>0</v>
      </c>
      <c r="AB79" s="36">
        <f t="shared" si="48"/>
        <v>0</v>
      </c>
      <c r="AC79" s="36">
        <f t="shared" si="49"/>
        <v>0</v>
      </c>
      <c r="AD79" s="36">
        <f t="shared" si="50"/>
        <v>0</v>
      </c>
      <c r="AE79" s="36">
        <f t="shared" si="51"/>
        <v>0</v>
      </c>
      <c r="AF79" s="36">
        <f t="shared" si="52"/>
        <v>0</v>
      </c>
      <c r="AG79" s="36">
        <f t="shared" si="53"/>
        <v>0</v>
      </c>
      <c r="AH79" s="36">
        <f t="shared" si="54"/>
        <v>0</v>
      </c>
      <c r="AI79" s="35" t="s">
        <v>207</v>
      </c>
      <c r="AJ79" s="26">
        <f t="shared" si="55"/>
        <v>0</v>
      </c>
      <c r="AK79" s="26">
        <f t="shared" si="56"/>
        <v>0</v>
      </c>
      <c r="AL79" s="26">
        <f t="shared" si="57"/>
        <v>0</v>
      </c>
      <c r="AN79" s="36">
        <v>21</v>
      </c>
      <c r="AO79" s="36">
        <f>K79*0.398119122257053</f>
        <v>0</v>
      </c>
      <c r="AP79" s="36">
        <f>K79*(1-0.398119122257053)</f>
        <v>0</v>
      </c>
      <c r="AQ79" s="37" t="s">
        <v>13</v>
      </c>
      <c r="AV79" s="36">
        <f t="shared" si="58"/>
        <v>0</v>
      </c>
      <c r="AW79" s="36">
        <f t="shared" si="59"/>
        <v>0</v>
      </c>
      <c r="AX79" s="36">
        <f t="shared" si="60"/>
        <v>0</v>
      </c>
      <c r="AY79" s="39" t="s">
        <v>493</v>
      </c>
      <c r="AZ79" s="39" t="s">
        <v>507</v>
      </c>
      <c r="BA79" s="35" t="s">
        <v>520</v>
      </c>
      <c r="BC79" s="36">
        <f t="shared" si="61"/>
        <v>0</v>
      </c>
      <c r="BD79" s="36">
        <f t="shared" si="62"/>
        <v>0</v>
      </c>
      <c r="BE79" s="36">
        <v>0</v>
      </c>
      <c r="BF79" s="36">
        <f>79</f>
        <v>79</v>
      </c>
      <c r="BH79" s="26">
        <f t="shared" si="63"/>
        <v>0</v>
      </c>
      <c r="BI79" s="26">
        <f t="shared" si="64"/>
        <v>0</v>
      </c>
      <c r="BJ79" s="26">
        <f t="shared" si="65"/>
        <v>0</v>
      </c>
      <c r="BK79" s="26" t="s">
        <v>526</v>
      </c>
      <c r="BL79" s="36">
        <v>722</v>
      </c>
    </row>
    <row r="80" spans="1:64" ht="12.75">
      <c r="A80" s="5" t="s">
        <v>64</v>
      </c>
      <c r="B80" s="16" t="s">
        <v>207</v>
      </c>
      <c r="C80" s="16" t="s">
        <v>271</v>
      </c>
      <c r="D80" s="127" t="s">
        <v>394</v>
      </c>
      <c r="E80" s="128"/>
      <c r="F80" s="128"/>
      <c r="G80" s="128"/>
      <c r="H80" s="128"/>
      <c r="I80" s="16" t="s">
        <v>463</v>
      </c>
      <c r="J80" s="26">
        <v>0.7</v>
      </c>
      <c r="K80" s="26">
        <v>0</v>
      </c>
      <c r="L80" s="26">
        <f t="shared" si="44"/>
        <v>0</v>
      </c>
      <c r="M80" s="26">
        <f t="shared" si="45"/>
        <v>0</v>
      </c>
      <c r="N80" s="46">
        <f t="shared" si="46"/>
        <v>0</v>
      </c>
      <c r="O80" s="7"/>
      <c r="Z80" s="36">
        <f t="shared" si="47"/>
        <v>0</v>
      </c>
      <c r="AB80" s="36">
        <f t="shared" si="48"/>
        <v>0</v>
      </c>
      <c r="AC80" s="36">
        <f t="shared" si="49"/>
        <v>0</v>
      </c>
      <c r="AD80" s="36">
        <f t="shared" si="50"/>
        <v>0</v>
      </c>
      <c r="AE80" s="36">
        <f t="shared" si="51"/>
        <v>0</v>
      </c>
      <c r="AF80" s="36">
        <f t="shared" si="52"/>
        <v>0</v>
      </c>
      <c r="AG80" s="36">
        <f t="shared" si="53"/>
        <v>0</v>
      </c>
      <c r="AH80" s="36">
        <f t="shared" si="54"/>
        <v>0</v>
      </c>
      <c r="AI80" s="35" t="s">
        <v>207</v>
      </c>
      <c r="AJ80" s="26">
        <f t="shared" si="55"/>
        <v>0</v>
      </c>
      <c r="AK80" s="26">
        <f t="shared" si="56"/>
        <v>0</v>
      </c>
      <c r="AL80" s="26">
        <f t="shared" si="57"/>
        <v>0</v>
      </c>
      <c r="AN80" s="36">
        <v>21</v>
      </c>
      <c r="AO80" s="36">
        <f>K80*0</f>
        <v>0</v>
      </c>
      <c r="AP80" s="36">
        <f>K80*(1-0)</f>
        <v>0</v>
      </c>
      <c r="AQ80" s="37" t="s">
        <v>11</v>
      </c>
      <c r="AV80" s="36">
        <f t="shared" si="58"/>
        <v>0</v>
      </c>
      <c r="AW80" s="36">
        <f t="shared" si="59"/>
        <v>0</v>
      </c>
      <c r="AX80" s="36">
        <f t="shared" si="60"/>
        <v>0</v>
      </c>
      <c r="AY80" s="39" t="s">
        <v>493</v>
      </c>
      <c r="AZ80" s="39" t="s">
        <v>507</v>
      </c>
      <c r="BA80" s="35" t="s">
        <v>520</v>
      </c>
      <c r="BC80" s="36">
        <f t="shared" si="61"/>
        <v>0</v>
      </c>
      <c r="BD80" s="36">
        <f t="shared" si="62"/>
        <v>0</v>
      </c>
      <c r="BE80" s="36">
        <v>0</v>
      </c>
      <c r="BF80" s="36">
        <f>80</f>
        <v>80</v>
      </c>
      <c r="BH80" s="26">
        <f t="shared" si="63"/>
        <v>0</v>
      </c>
      <c r="BI80" s="26">
        <f t="shared" si="64"/>
        <v>0</v>
      </c>
      <c r="BJ80" s="26">
        <f t="shared" si="65"/>
        <v>0</v>
      </c>
      <c r="BK80" s="26" t="s">
        <v>526</v>
      </c>
      <c r="BL80" s="36">
        <v>722</v>
      </c>
    </row>
    <row r="81" spans="1:47" ht="12.75">
      <c r="A81" s="4"/>
      <c r="B81" s="15" t="s">
        <v>207</v>
      </c>
      <c r="C81" s="15" t="s">
        <v>272</v>
      </c>
      <c r="D81" s="129" t="s">
        <v>395</v>
      </c>
      <c r="E81" s="130"/>
      <c r="F81" s="130"/>
      <c r="G81" s="130"/>
      <c r="H81" s="130"/>
      <c r="I81" s="23" t="s">
        <v>6</v>
      </c>
      <c r="J81" s="23" t="s">
        <v>6</v>
      </c>
      <c r="K81" s="23" t="s">
        <v>6</v>
      </c>
      <c r="L81" s="42">
        <f>SUM(L82:L87)</f>
        <v>0</v>
      </c>
      <c r="M81" s="42">
        <f>SUM(M82:M87)</f>
        <v>0</v>
      </c>
      <c r="N81" s="45">
        <f>SUM(N82:N87)</f>
        <v>0</v>
      </c>
      <c r="O81" s="7"/>
      <c r="AI81" s="35" t="s">
        <v>207</v>
      </c>
      <c r="AS81" s="42">
        <f>SUM(AJ82:AJ87)</f>
        <v>0</v>
      </c>
      <c r="AT81" s="42">
        <f>SUM(AK82:AK87)</f>
        <v>0</v>
      </c>
      <c r="AU81" s="42">
        <f>SUM(AL82:AL87)</f>
        <v>0</v>
      </c>
    </row>
    <row r="82" spans="1:64" ht="12.75">
      <c r="A82" s="5" t="s">
        <v>65</v>
      </c>
      <c r="B82" s="16" t="s">
        <v>207</v>
      </c>
      <c r="C82" s="16" t="s">
        <v>273</v>
      </c>
      <c r="D82" s="127" t="s">
        <v>396</v>
      </c>
      <c r="E82" s="128"/>
      <c r="F82" s="128"/>
      <c r="G82" s="128"/>
      <c r="H82" s="128"/>
      <c r="I82" s="16" t="s">
        <v>461</v>
      </c>
      <c r="J82" s="26">
        <v>31</v>
      </c>
      <c r="K82" s="26">
        <v>0</v>
      </c>
      <c r="L82" s="26">
        <f aca="true" t="shared" si="66" ref="L82:L87">J82*AO82</f>
        <v>0</v>
      </c>
      <c r="M82" s="26">
        <f aca="true" t="shared" si="67" ref="M82:M87">J82*AP82</f>
        <v>0</v>
      </c>
      <c r="N82" s="46">
        <f aca="true" t="shared" si="68" ref="N82:N87">J82*K82</f>
        <v>0</v>
      </c>
      <c r="O82" s="7"/>
      <c r="Z82" s="36">
        <f aca="true" t="shared" si="69" ref="Z82:Z87">IF(AQ82="5",BJ82,0)</f>
        <v>0</v>
      </c>
      <c r="AB82" s="36">
        <f aca="true" t="shared" si="70" ref="AB82:AB87">IF(AQ82="1",BH82,0)</f>
        <v>0</v>
      </c>
      <c r="AC82" s="36">
        <f aca="true" t="shared" si="71" ref="AC82:AC87">IF(AQ82="1",BI82,0)</f>
        <v>0</v>
      </c>
      <c r="AD82" s="36">
        <f aca="true" t="shared" si="72" ref="AD82:AD87">IF(AQ82="7",BH82,0)</f>
        <v>0</v>
      </c>
      <c r="AE82" s="36">
        <f aca="true" t="shared" si="73" ref="AE82:AE87">IF(AQ82="7",BI82,0)</f>
        <v>0</v>
      </c>
      <c r="AF82" s="36">
        <f aca="true" t="shared" si="74" ref="AF82:AF87">IF(AQ82="2",BH82,0)</f>
        <v>0</v>
      </c>
      <c r="AG82" s="36">
        <f aca="true" t="shared" si="75" ref="AG82:AG87">IF(AQ82="2",BI82,0)</f>
        <v>0</v>
      </c>
      <c r="AH82" s="36">
        <f aca="true" t="shared" si="76" ref="AH82:AH87">IF(AQ82="0",BJ82,0)</f>
        <v>0</v>
      </c>
      <c r="AI82" s="35" t="s">
        <v>207</v>
      </c>
      <c r="AJ82" s="26">
        <f aca="true" t="shared" si="77" ref="AJ82:AJ87">IF(AN82=0,N82,0)</f>
        <v>0</v>
      </c>
      <c r="AK82" s="26">
        <f aca="true" t="shared" si="78" ref="AK82:AK87">IF(AN82=15,N82,0)</f>
        <v>0</v>
      </c>
      <c r="AL82" s="26">
        <f aca="true" t="shared" si="79" ref="AL82:AL87">IF(AN82=21,N82,0)</f>
        <v>0</v>
      </c>
      <c r="AN82" s="36">
        <v>21</v>
      </c>
      <c r="AO82" s="36">
        <f>K82*0</f>
        <v>0</v>
      </c>
      <c r="AP82" s="36">
        <f>K82*(1-0)</f>
        <v>0</v>
      </c>
      <c r="AQ82" s="37" t="s">
        <v>13</v>
      </c>
      <c r="AV82" s="36">
        <f aca="true" t="shared" si="80" ref="AV82:AV87">AW82+AX82</f>
        <v>0</v>
      </c>
      <c r="AW82" s="36">
        <f aca="true" t="shared" si="81" ref="AW82:AW87">J82*AO82</f>
        <v>0</v>
      </c>
      <c r="AX82" s="36">
        <f aca="true" t="shared" si="82" ref="AX82:AX87">J82*AP82</f>
        <v>0</v>
      </c>
      <c r="AY82" s="39" t="s">
        <v>494</v>
      </c>
      <c r="AZ82" s="39" t="s">
        <v>505</v>
      </c>
      <c r="BA82" s="35" t="s">
        <v>520</v>
      </c>
      <c r="BC82" s="36">
        <f aca="true" t="shared" si="83" ref="BC82:BC87">AW82+AX82</f>
        <v>0</v>
      </c>
      <c r="BD82" s="36">
        <f aca="true" t="shared" si="84" ref="BD82:BD87">K82/(100-BE82)*100</f>
        <v>0</v>
      </c>
      <c r="BE82" s="36">
        <v>0</v>
      </c>
      <c r="BF82" s="36">
        <f>82</f>
        <v>82</v>
      </c>
      <c r="BH82" s="26">
        <f aca="true" t="shared" si="85" ref="BH82:BH87">J82*AO82</f>
        <v>0</v>
      </c>
      <c r="BI82" s="26">
        <f aca="true" t="shared" si="86" ref="BI82:BI87">J82*AP82</f>
        <v>0</v>
      </c>
      <c r="BJ82" s="26">
        <f aca="true" t="shared" si="87" ref="BJ82:BJ87">J82*K82</f>
        <v>0</v>
      </c>
      <c r="BK82" s="26" t="s">
        <v>526</v>
      </c>
      <c r="BL82" s="36">
        <v>772</v>
      </c>
    </row>
    <row r="83" spans="1:64" ht="12.75">
      <c r="A83" s="5" t="s">
        <v>66</v>
      </c>
      <c r="B83" s="16" t="s">
        <v>207</v>
      </c>
      <c r="C83" s="16" t="s">
        <v>274</v>
      </c>
      <c r="D83" s="127" t="s">
        <v>397</v>
      </c>
      <c r="E83" s="128"/>
      <c r="F83" s="128"/>
      <c r="G83" s="128"/>
      <c r="H83" s="128"/>
      <c r="I83" s="16" t="s">
        <v>461</v>
      </c>
      <c r="J83" s="26">
        <v>31</v>
      </c>
      <c r="K83" s="26">
        <v>0</v>
      </c>
      <c r="L83" s="26">
        <f t="shared" si="66"/>
        <v>0</v>
      </c>
      <c r="M83" s="26">
        <f t="shared" si="67"/>
        <v>0</v>
      </c>
      <c r="N83" s="46">
        <f t="shared" si="68"/>
        <v>0</v>
      </c>
      <c r="O83" s="7"/>
      <c r="Z83" s="36">
        <f t="shared" si="69"/>
        <v>0</v>
      </c>
      <c r="AB83" s="36">
        <f t="shared" si="70"/>
        <v>0</v>
      </c>
      <c r="AC83" s="36">
        <f t="shared" si="71"/>
        <v>0</v>
      </c>
      <c r="AD83" s="36">
        <f t="shared" si="72"/>
        <v>0</v>
      </c>
      <c r="AE83" s="36">
        <f t="shared" si="73"/>
        <v>0</v>
      </c>
      <c r="AF83" s="36">
        <f t="shared" si="74"/>
        <v>0</v>
      </c>
      <c r="AG83" s="36">
        <f t="shared" si="75"/>
        <v>0</v>
      </c>
      <c r="AH83" s="36">
        <f t="shared" si="76"/>
        <v>0</v>
      </c>
      <c r="AI83" s="35" t="s">
        <v>207</v>
      </c>
      <c r="AJ83" s="26">
        <f t="shared" si="77"/>
        <v>0</v>
      </c>
      <c r="AK83" s="26">
        <f t="shared" si="78"/>
        <v>0</v>
      </c>
      <c r="AL83" s="26">
        <f t="shared" si="79"/>
        <v>0</v>
      </c>
      <c r="AN83" s="36">
        <v>21</v>
      </c>
      <c r="AO83" s="36">
        <f>K83*0.251769662921348</f>
        <v>0</v>
      </c>
      <c r="AP83" s="36">
        <f>K83*(1-0.251769662921348)</f>
        <v>0</v>
      </c>
      <c r="AQ83" s="37" t="s">
        <v>13</v>
      </c>
      <c r="AV83" s="36">
        <f t="shared" si="80"/>
        <v>0</v>
      </c>
      <c r="AW83" s="36">
        <f t="shared" si="81"/>
        <v>0</v>
      </c>
      <c r="AX83" s="36">
        <f t="shared" si="82"/>
        <v>0</v>
      </c>
      <c r="AY83" s="39" t="s">
        <v>494</v>
      </c>
      <c r="AZ83" s="39" t="s">
        <v>505</v>
      </c>
      <c r="BA83" s="35" t="s">
        <v>520</v>
      </c>
      <c r="BC83" s="36">
        <f t="shared" si="83"/>
        <v>0</v>
      </c>
      <c r="BD83" s="36">
        <f t="shared" si="84"/>
        <v>0</v>
      </c>
      <c r="BE83" s="36">
        <v>0</v>
      </c>
      <c r="BF83" s="36">
        <f>83</f>
        <v>83</v>
      </c>
      <c r="BH83" s="26">
        <f t="shared" si="85"/>
        <v>0</v>
      </c>
      <c r="BI83" s="26">
        <f t="shared" si="86"/>
        <v>0</v>
      </c>
      <c r="BJ83" s="26">
        <f t="shared" si="87"/>
        <v>0</v>
      </c>
      <c r="BK83" s="26" t="s">
        <v>526</v>
      </c>
      <c r="BL83" s="36">
        <v>772</v>
      </c>
    </row>
    <row r="84" spans="1:64" ht="12.75">
      <c r="A84" s="5" t="s">
        <v>67</v>
      </c>
      <c r="B84" s="16" t="s">
        <v>207</v>
      </c>
      <c r="C84" s="16" t="s">
        <v>275</v>
      </c>
      <c r="D84" s="127" t="s">
        <v>398</v>
      </c>
      <c r="E84" s="128"/>
      <c r="F84" s="128"/>
      <c r="G84" s="128"/>
      <c r="H84" s="128"/>
      <c r="I84" s="16" t="s">
        <v>462</v>
      </c>
      <c r="J84" s="26">
        <v>5</v>
      </c>
      <c r="K84" s="26">
        <v>0</v>
      </c>
      <c r="L84" s="26">
        <f t="shared" si="66"/>
        <v>0</v>
      </c>
      <c r="M84" s="26">
        <f t="shared" si="67"/>
        <v>0</v>
      </c>
      <c r="N84" s="46">
        <f t="shared" si="68"/>
        <v>0</v>
      </c>
      <c r="O84" s="7"/>
      <c r="Z84" s="36">
        <f t="shared" si="69"/>
        <v>0</v>
      </c>
      <c r="AB84" s="36">
        <f t="shared" si="70"/>
        <v>0</v>
      </c>
      <c r="AC84" s="36">
        <f t="shared" si="71"/>
        <v>0</v>
      </c>
      <c r="AD84" s="36">
        <f t="shared" si="72"/>
        <v>0</v>
      </c>
      <c r="AE84" s="36">
        <f t="shared" si="73"/>
        <v>0</v>
      </c>
      <c r="AF84" s="36">
        <f t="shared" si="74"/>
        <v>0</v>
      </c>
      <c r="AG84" s="36">
        <f t="shared" si="75"/>
        <v>0</v>
      </c>
      <c r="AH84" s="36">
        <f t="shared" si="76"/>
        <v>0</v>
      </c>
      <c r="AI84" s="35" t="s">
        <v>207</v>
      </c>
      <c r="AJ84" s="26">
        <f t="shared" si="77"/>
        <v>0</v>
      </c>
      <c r="AK84" s="26">
        <f t="shared" si="78"/>
        <v>0</v>
      </c>
      <c r="AL84" s="26">
        <f t="shared" si="79"/>
        <v>0</v>
      </c>
      <c r="AN84" s="36">
        <v>21</v>
      </c>
      <c r="AO84" s="36">
        <f>K84*0</f>
        <v>0</v>
      </c>
      <c r="AP84" s="36">
        <f>K84*(1-0)</f>
        <v>0</v>
      </c>
      <c r="AQ84" s="37" t="s">
        <v>13</v>
      </c>
      <c r="AV84" s="36">
        <f t="shared" si="80"/>
        <v>0</v>
      </c>
      <c r="AW84" s="36">
        <f t="shared" si="81"/>
        <v>0</v>
      </c>
      <c r="AX84" s="36">
        <f t="shared" si="82"/>
        <v>0</v>
      </c>
      <c r="AY84" s="39" t="s">
        <v>494</v>
      </c>
      <c r="AZ84" s="39" t="s">
        <v>505</v>
      </c>
      <c r="BA84" s="35" t="s">
        <v>520</v>
      </c>
      <c r="BC84" s="36">
        <f t="shared" si="83"/>
        <v>0</v>
      </c>
      <c r="BD84" s="36">
        <f t="shared" si="84"/>
        <v>0</v>
      </c>
      <c r="BE84" s="36">
        <v>0</v>
      </c>
      <c r="BF84" s="36">
        <f>84</f>
        <v>84</v>
      </c>
      <c r="BH84" s="26">
        <f t="shared" si="85"/>
        <v>0</v>
      </c>
      <c r="BI84" s="26">
        <f t="shared" si="86"/>
        <v>0</v>
      </c>
      <c r="BJ84" s="26">
        <f t="shared" si="87"/>
        <v>0</v>
      </c>
      <c r="BK84" s="26" t="s">
        <v>526</v>
      </c>
      <c r="BL84" s="36">
        <v>772</v>
      </c>
    </row>
    <row r="85" spans="1:64" ht="12.75">
      <c r="A85" s="5" t="s">
        <v>68</v>
      </c>
      <c r="B85" s="16" t="s">
        <v>207</v>
      </c>
      <c r="C85" s="16" t="s">
        <v>276</v>
      </c>
      <c r="D85" s="127" t="s">
        <v>399</v>
      </c>
      <c r="E85" s="128"/>
      <c r="F85" s="128"/>
      <c r="G85" s="128"/>
      <c r="H85" s="128"/>
      <c r="I85" s="16" t="s">
        <v>462</v>
      </c>
      <c r="J85" s="26">
        <v>2</v>
      </c>
      <c r="K85" s="26">
        <v>0</v>
      </c>
      <c r="L85" s="26">
        <f t="shared" si="66"/>
        <v>0</v>
      </c>
      <c r="M85" s="26">
        <f t="shared" si="67"/>
        <v>0</v>
      </c>
      <c r="N85" s="46">
        <f t="shared" si="68"/>
        <v>0</v>
      </c>
      <c r="O85" s="7"/>
      <c r="Z85" s="36">
        <f t="shared" si="69"/>
        <v>0</v>
      </c>
      <c r="AB85" s="36">
        <f t="shared" si="70"/>
        <v>0</v>
      </c>
      <c r="AC85" s="36">
        <f t="shared" si="71"/>
        <v>0</v>
      </c>
      <c r="AD85" s="36">
        <f t="shared" si="72"/>
        <v>0</v>
      </c>
      <c r="AE85" s="36">
        <f t="shared" si="73"/>
        <v>0</v>
      </c>
      <c r="AF85" s="36">
        <f t="shared" si="74"/>
        <v>0</v>
      </c>
      <c r="AG85" s="36">
        <f t="shared" si="75"/>
        <v>0</v>
      </c>
      <c r="AH85" s="36">
        <f t="shared" si="76"/>
        <v>0</v>
      </c>
      <c r="AI85" s="35" t="s">
        <v>207</v>
      </c>
      <c r="AJ85" s="26">
        <f t="shared" si="77"/>
        <v>0</v>
      </c>
      <c r="AK85" s="26">
        <f t="shared" si="78"/>
        <v>0</v>
      </c>
      <c r="AL85" s="26">
        <f t="shared" si="79"/>
        <v>0</v>
      </c>
      <c r="AN85" s="36">
        <v>21</v>
      </c>
      <c r="AO85" s="36">
        <f>K85*0</f>
        <v>0</v>
      </c>
      <c r="AP85" s="36">
        <f>K85*(1-0)</f>
        <v>0</v>
      </c>
      <c r="AQ85" s="37" t="s">
        <v>13</v>
      </c>
      <c r="AV85" s="36">
        <f t="shared" si="80"/>
        <v>0</v>
      </c>
      <c r="AW85" s="36">
        <f t="shared" si="81"/>
        <v>0</v>
      </c>
      <c r="AX85" s="36">
        <f t="shared" si="82"/>
        <v>0</v>
      </c>
      <c r="AY85" s="39" t="s">
        <v>494</v>
      </c>
      <c r="AZ85" s="39" t="s">
        <v>505</v>
      </c>
      <c r="BA85" s="35" t="s">
        <v>520</v>
      </c>
      <c r="BC85" s="36">
        <f t="shared" si="83"/>
        <v>0</v>
      </c>
      <c r="BD85" s="36">
        <f t="shared" si="84"/>
        <v>0</v>
      </c>
      <c r="BE85" s="36">
        <v>0</v>
      </c>
      <c r="BF85" s="36">
        <f>85</f>
        <v>85</v>
      </c>
      <c r="BH85" s="26">
        <f t="shared" si="85"/>
        <v>0</v>
      </c>
      <c r="BI85" s="26">
        <f t="shared" si="86"/>
        <v>0</v>
      </c>
      <c r="BJ85" s="26">
        <f t="shared" si="87"/>
        <v>0</v>
      </c>
      <c r="BK85" s="26" t="s">
        <v>526</v>
      </c>
      <c r="BL85" s="36">
        <v>772</v>
      </c>
    </row>
    <row r="86" spans="1:64" ht="12.75">
      <c r="A86" s="5" t="s">
        <v>69</v>
      </c>
      <c r="B86" s="16" t="s">
        <v>207</v>
      </c>
      <c r="C86" s="16" t="s">
        <v>242</v>
      </c>
      <c r="D86" s="127" t="s">
        <v>365</v>
      </c>
      <c r="E86" s="128"/>
      <c r="F86" s="128"/>
      <c r="G86" s="128"/>
      <c r="H86" s="128"/>
      <c r="I86" s="16" t="s">
        <v>465</v>
      </c>
      <c r="J86" s="26">
        <v>1</v>
      </c>
      <c r="K86" s="26">
        <v>0</v>
      </c>
      <c r="L86" s="26">
        <f t="shared" si="66"/>
        <v>0</v>
      </c>
      <c r="M86" s="26">
        <f t="shared" si="67"/>
        <v>0</v>
      </c>
      <c r="N86" s="46">
        <f t="shared" si="68"/>
        <v>0</v>
      </c>
      <c r="O86" s="7"/>
      <c r="Z86" s="36">
        <f t="shared" si="69"/>
        <v>0</v>
      </c>
      <c r="AB86" s="36">
        <f t="shared" si="70"/>
        <v>0</v>
      </c>
      <c r="AC86" s="36">
        <f t="shared" si="71"/>
        <v>0</v>
      </c>
      <c r="AD86" s="36">
        <f t="shared" si="72"/>
        <v>0</v>
      </c>
      <c r="AE86" s="36">
        <f t="shared" si="73"/>
        <v>0</v>
      </c>
      <c r="AF86" s="36">
        <f t="shared" si="74"/>
        <v>0</v>
      </c>
      <c r="AG86" s="36">
        <f t="shared" si="75"/>
        <v>0</v>
      </c>
      <c r="AH86" s="36">
        <f t="shared" si="76"/>
        <v>0</v>
      </c>
      <c r="AI86" s="35" t="s">
        <v>207</v>
      </c>
      <c r="AJ86" s="26">
        <f t="shared" si="77"/>
        <v>0</v>
      </c>
      <c r="AK86" s="26">
        <f t="shared" si="78"/>
        <v>0</v>
      </c>
      <c r="AL86" s="26">
        <f t="shared" si="79"/>
        <v>0</v>
      </c>
      <c r="AN86" s="36">
        <v>21</v>
      </c>
      <c r="AO86" s="36">
        <f>K86*0</f>
        <v>0</v>
      </c>
      <c r="AP86" s="36">
        <f>K86*(1-0)</f>
        <v>0</v>
      </c>
      <c r="AQ86" s="37" t="s">
        <v>13</v>
      </c>
      <c r="AV86" s="36">
        <f t="shared" si="80"/>
        <v>0</v>
      </c>
      <c r="AW86" s="36">
        <f t="shared" si="81"/>
        <v>0</v>
      </c>
      <c r="AX86" s="36">
        <f t="shared" si="82"/>
        <v>0</v>
      </c>
      <c r="AY86" s="39" t="s">
        <v>494</v>
      </c>
      <c r="AZ86" s="39" t="s">
        <v>505</v>
      </c>
      <c r="BA86" s="35" t="s">
        <v>520</v>
      </c>
      <c r="BC86" s="36">
        <f t="shared" si="83"/>
        <v>0</v>
      </c>
      <c r="BD86" s="36">
        <f t="shared" si="84"/>
        <v>0</v>
      </c>
      <c r="BE86" s="36">
        <v>0</v>
      </c>
      <c r="BF86" s="36">
        <f>86</f>
        <v>86</v>
      </c>
      <c r="BH86" s="26">
        <f t="shared" si="85"/>
        <v>0</v>
      </c>
      <c r="BI86" s="26">
        <f t="shared" si="86"/>
        <v>0</v>
      </c>
      <c r="BJ86" s="26">
        <f t="shared" si="87"/>
        <v>0</v>
      </c>
      <c r="BK86" s="26" t="s">
        <v>526</v>
      </c>
      <c r="BL86" s="36">
        <v>772</v>
      </c>
    </row>
    <row r="87" spans="1:64" ht="12.75">
      <c r="A87" s="5" t="s">
        <v>70</v>
      </c>
      <c r="B87" s="16" t="s">
        <v>207</v>
      </c>
      <c r="C87" s="16" t="s">
        <v>277</v>
      </c>
      <c r="D87" s="127" t="s">
        <v>400</v>
      </c>
      <c r="E87" s="128"/>
      <c r="F87" s="128"/>
      <c r="G87" s="128"/>
      <c r="H87" s="128"/>
      <c r="I87" s="16" t="s">
        <v>463</v>
      </c>
      <c r="J87" s="26">
        <v>0.2</v>
      </c>
      <c r="K87" s="26">
        <v>0</v>
      </c>
      <c r="L87" s="26">
        <f t="shared" si="66"/>
        <v>0</v>
      </c>
      <c r="M87" s="26">
        <f t="shared" si="67"/>
        <v>0</v>
      </c>
      <c r="N87" s="46">
        <f t="shared" si="68"/>
        <v>0</v>
      </c>
      <c r="O87" s="7"/>
      <c r="Z87" s="36">
        <f t="shared" si="69"/>
        <v>0</v>
      </c>
      <c r="AB87" s="36">
        <f t="shared" si="70"/>
        <v>0</v>
      </c>
      <c r="AC87" s="36">
        <f t="shared" si="71"/>
        <v>0</v>
      </c>
      <c r="AD87" s="36">
        <f t="shared" si="72"/>
        <v>0</v>
      </c>
      <c r="AE87" s="36">
        <f t="shared" si="73"/>
        <v>0</v>
      </c>
      <c r="AF87" s="36">
        <f t="shared" si="74"/>
        <v>0</v>
      </c>
      <c r="AG87" s="36">
        <f t="shared" si="75"/>
        <v>0</v>
      </c>
      <c r="AH87" s="36">
        <f t="shared" si="76"/>
        <v>0</v>
      </c>
      <c r="AI87" s="35" t="s">
        <v>207</v>
      </c>
      <c r="AJ87" s="26">
        <f t="shared" si="77"/>
        <v>0</v>
      </c>
      <c r="AK87" s="26">
        <f t="shared" si="78"/>
        <v>0</v>
      </c>
      <c r="AL87" s="26">
        <f t="shared" si="79"/>
        <v>0</v>
      </c>
      <c r="AN87" s="36">
        <v>21</v>
      </c>
      <c r="AO87" s="36">
        <f>K87*0</f>
        <v>0</v>
      </c>
      <c r="AP87" s="36">
        <f>K87*(1-0)</f>
        <v>0</v>
      </c>
      <c r="AQ87" s="37" t="s">
        <v>11</v>
      </c>
      <c r="AV87" s="36">
        <f t="shared" si="80"/>
        <v>0</v>
      </c>
      <c r="AW87" s="36">
        <f t="shared" si="81"/>
        <v>0</v>
      </c>
      <c r="AX87" s="36">
        <f t="shared" si="82"/>
        <v>0</v>
      </c>
      <c r="AY87" s="39" t="s">
        <v>494</v>
      </c>
      <c r="AZ87" s="39" t="s">
        <v>505</v>
      </c>
      <c r="BA87" s="35" t="s">
        <v>520</v>
      </c>
      <c r="BC87" s="36">
        <f t="shared" si="83"/>
        <v>0</v>
      </c>
      <c r="BD87" s="36">
        <f t="shared" si="84"/>
        <v>0</v>
      </c>
      <c r="BE87" s="36">
        <v>0</v>
      </c>
      <c r="BF87" s="36">
        <f>87</f>
        <v>87</v>
      </c>
      <c r="BH87" s="26">
        <f t="shared" si="85"/>
        <v>0</v>
      </c>
      <c r="BI87" s="26">
        <f t="shared" si="86"/>
        <v>0</v>
      </c>
      <c r="BJ87" s="26">
        <f t="shared" si="87"/>
        <v>0</v>
      </c>
      <c r="BK87" s="26" t="s">
        <v>526</v>
      </c>
      <c r="BL87" s="36">
        <v>772</v>
      </c>
    </row>
    <row r="88" spans="1:47" ht="12.75">
      <c r="A88" s="4"/>
      <c r="B88" s="15" t="s">
        <v>207</v>
      </c>
      <c r="C88" s="15" t="s">
        <v>278</v>
      </c>
      <c r="D88" s="129" t="s">
        <v>401</v>
      </c>
      <c r="E88" s="130"/>
      <c r="F88" s="130"/>
      <c r="G88" s="130"/>
      <c r="H88" s="130"/>
      <c r="I88" s="23" t="s">
        <v>6</v>
      </c>
      <c r="J88" s="23" t="s">
        <v>6</v>
      </c>
      <c r="K88" s="23" t="s">
        <v>6</v>
      </c>
      <c r="L88" s="42">
        <f>SUM(L89:L95)</f>
        <v>0</v>
      </c>
      <c r="M88" s="42">
        <f>SUM(M89:M95)</f>
        <v>0</v>
      </c>
      <c r="N88" s="45">
        <f>SUM(N89:N95)</f>
        <v>0</v>
      </c>
      <c r="O88" s="7"/>
      <c r="AI88" s="35" t="s">
        <v>207</v>
      </c>
      <c r="AS88" s="42">
        <f>SUM(AJ89:AJ95)</f>
        <v>0</v>
      </c>
      <c r="AT88" s="42">
        <f>SUM(AK89:AK95)</f>
        <v>0</v>
      </c>
      <c r="AU88" s="42">
        <f>SUM(AL89:AL95)</f>
        <v>0</v>
      </c>
    </row>
    <row r="89" spans="1:64" ht="12.75">
      <c r="A89" s="5" t="s">
        <v>71</v>
      </c>
      <c r="B89" s="16" t="s">
        <v>207</v>
      </c>
      <c r="C89" s="16" t="s">
        <v>279</v>
      </c>
      <c r="D89" s="127" t="s">
        <v>402</v>
      </c>
      <c r="E89" s="128"/>
      <c r="F89" s="128"/>
      <c r="G89" s="128"/>
      <c r="H89" s="128"/>
      <c r="I89" s="16" t="s">
        <v>460</v>
      </c>
      <c r="J89" s="26">
        <v>0.96</v>
      </c>
      <c r="K89" s="26">
        <v>0</v>
      </c>
      <c r="L89" s="26">
        <f aca="true" t="shared" si="88" ref="L89:L95">J89*AO89</f>
        <v>0</v>
      </c>
      <c r="M89" s="26">
        <f aca="true" t="shared" si="89" ref="M89:M95">J89*AP89</f>
        <v>0</v>
      </c>
      <c r="N89" s="46">
        <f aca="true" t="shared" si="90" ref="N89:N95">J89*K89</f>
        <v>0</v>
      </c>
      <c r="O89" s="7"/>
      <c r="Z89" s="36">
        <f aca="true" t="shared" si="91" ref="Z89:Z95">IF(AQ89="5",BJ89,0)</f>
        <v>0</v>
      </c>
      <c r="AB89" s="36">
        <f aca="true" t="shared" si="92" ref="AB89:AB95">IF(AQ89="1",BH89,0)</f>
        <v>0</v>
      </c>
      <c r="AC89" s="36">
        <f aca="true" t="shared" si="93" ref="AC89:AC95">IF(AQ89="1",BI89,0)</f>
        <v>0</v>
      </c>
      <c r="AD89" s="36">
        <f aca="true" t="shared" si="94" ref="AD89:AD95">IF(AQ89="7",BH89,0)</f>
        <v>0</v>
      </c>
      <c r="AE89" s="36">
        <f aca="true" t="shared" si="95" ref="AE89:AE95">IF(AQ89="7",BI89,0)</f>
        <v>0</v>
      </c>
      <c r="AF89" s="36">
        <f aca="true" t="shared" si="96" ref="AF89:AF95">IF(AQ89="2",BH89,0)</f>
        <v>0</v>
      </c>
      <c r="AG89" s="36">
        <f aca="true" t="shared" si="97" ref="AG89:AG95">IF(AQ89="2",BI89,0)</f>
        <v>0</v>
      </c>
      <c r="AH89" s="36">
        <f aca="true" t="shared" si="98" ref="AH89:AH95">IF(AQ89="0",BJ89,0)</f>
        <v>0</v>
      </c>
      <c r="AI89" s="35" t="s">
        <v>207</v>
      </c>
      <c r="AJ89" s="26">
        <f aca="true" t="shared" si="99" ref="AJ89:AJ95">IF(AN89=0,N89,0)</f>
        <v>0</v>
      </c>
      <c r="AK89" s="26">
        <f aca="true" t="shared" si="100" ref="AK89:AK95">IF(AN89=15,N89,0)</f>
        <v>0</v>
      </c>
      <c r="AL89" s="26">
        <f aca="true" t="shared" si="101" ref="AL89:AL95">IF(AN89=21,N89,0)</f>
        <v>0</v>
      </c>
      <c r="AN89" s="36">
        <v>21</v>
      </c>
      <c r="AO89" s="36">
        <f>K89*0</f>
        <v>0</v>
      </c>
      <c r="AP89" s="36">
        <f>K89*(1-0)</f>
        <v>0</v>
      </c>
      <c r="AQ89" s="37" t="s">
        <v>13</v>
      </c>
      <c r="AV89" s="36">
        <f aca="true" t="shared" si="102" ref="AV89:AV95">AW89+AX89</f>
        <v>0</v>
      </c>
      <c r="AW89" s="36">
        <f aca="true" t="shared" si="103" ref="AW89:AW95">J89*AO89</f>
        <v>0</v>
      </c>
      <c r="AX89" s="36">
        <f aca="true" t="shared" si="104" ref="AX89:AX95">J89*AP89</f>
        <v>0</v>
      </c>
      <c r="AY89" s="39" t="s">
        <v>495</v>
      </c>
      <c r="AZ89" s="39" t="s">
        <v>508</v>
      </c>
      <c r="BA89" s="35" t="s">
        <v>520</v>
      </c>
      <c r="BC89" s="36">
        <f aca="true" t="shared" si="105" ref="BC89:BC95">AW89+AX89</f>
        <v>0</v>
      </c>
      <c r="BD89" s="36">
        <f aca="true" t="shared" si="106" ref="BD89:BD95">K89/(100-BE89)*100</f>
        <v>0</v>
      </c>
      <c r="BE89" s="36">
        <v>0</v>
      </c>
      <c r="BF89" s="36">
        <f>89</f>
        <v>89</v>
      </c>
      <c r="BH89" s="26">
        <f aca="true" t="shared" si="107" ref="BH89:BH95">J89*AO89</f>
        <v>0</v>
      </c>
      <c r="BI89" s="26">
        <f aca="true" t="shared" si="108" ref="BI89:BI95">J89*AP89</f>
        <v>0</v>
      </c>
      <c r="BJ89" s="26">
        <f aca="true" t="shared" si="109" ref="BJ89:BJ95">J89*K89</f>
        <v>0</v>
      </c>
      <c r="BK89" s="26" t="s">
        <v>526</v>
      </c>
      <c r="BL89" s="36">
        <v>735</v>
      </c>
    </row>
    <row r="90" spans="1:64" ht="12.75">
      <c r="A90" s="5" t="s">
        <v>72</v>
      </c>
      <c r="B90" s="16" t="s">
        <v>207</v>
      </c>
      <c r="C90" s="16" t="s">
        <v>280</v>
      </c>
      <c r="D90" s="127" t="s">
        <v>403</v>
      </c>
      <c r="E90" s="128"/>
      <c r="F90" s="128"/>
      <c r="G90" s="128"/>
      <c r="H90" s="128"/>
      <c r="I90" s="16" t="s">
        <v>460</v>
      </c>
      <c r="J90" s="26">
        <v>0.96</v>
      </c>
      <c r="K90" s="26">
        <v>0</v>
      </c>
      <c r="L90" s="26">
        <f t="shared" si="88"/>
        <v>0</v>
      </c>
      <c r="M90" s="26">
        <f t="shared" si="89"/>
        <v>0</v>
      </c>
      <c r="N90" s="46">
        <f t="shared" si="90"/>
        <v>0</v>
      </c>
      <c r="O90" s="7"/>
      <c r="Z90" s="36">
        <f t="shared" si="91"/>
        <v>0</v>
      </c>
      <c r="AB90" s="36">
        <f t="shared" si="92"/>
        <v>0</v>
      </c>
      <c r="AC90" s="36">
        <f t="shared" si="93"/>
        <v>0</v>
      </c>
      <c r="AD90" s="36">
        <f t="shared" si="94"/>
        <v>0</v>
      </c>
      <c r="AE90" s="36">
        <f t="shared" si="95"/>
        <v>0</v>
      </c>
      <c r="AF90" s="36">
        <f t="shared" si="96"/>
        <v>0</v>
      </c>
      <c r="AG90" s="36">
        <f t="shared" si="97"/>
        <v>0</v>
      </c>
      <c r="AH90" s="36">
        <f t="shared" si="98"/>
        <v>0</v>
      </c>
      <c r="AI90" s="35" t="s">
        <v>207</v>
      </c>
      <c r="AJ90" s="26">
        <f t="shared" si="99"/>
        <v>0</v>
      </c>
      <c r="AK90" s="26">
        <f t="shared" si="100"/>
        <v>0</v>
      </c>
      <c r="AL90" s="26">
        <f t="shared" si="101"/>
        <v>0</v>
      </c>
      <c r="AN90" s="36">
        <v>21</v>
      </c>
      <c r="AO90" s="36">
        <f>K90*0.423877551020408</f>
        <v>0</v>
      </c>
      <c r="AP90" s="36">
        <f>K90*(1-0.423877551020408)</f>
        <v>0</v>
      </c>
      <c r="AQ90" s="37" t="s">
        <v>13</v>
      </c>
      <c r="AV90" s="36">
        <f t="shared" si="102"/>
        <v>0</v>
      </c>
      <c r="AW90" s="36">
        <f t="shared" si="103"/>
        <v>0</v>
      </c>
      <c r="AX90" s="36">
        <f t="shared" si="104"/>
        <v>0</v>
      </c>
      <c r="AY90" s="39" t="s">
        <v>495</v>
      </c>
      <c r="AZ90" s="39" t="s">
        <v>508</v>
      </c>
      <c r="BA90" s="35" t="s">
        <v>520</v>
      </c>
      <c r="BC90" s="36">
        <f t="shared" si="105"/>
        <v>0</v>
      </c>
      <c r="BD90" s="36">
        <f t="shared" si="106"/>
        <v>0</v>
      </c>
      <c r="BE90" s="36">
        <v>0</v>
      </c>
      <c r="BF90" s="36">
        <f>90</f>
        <v>90</v>
      </c>
      <c r="BH90" s="26">
        <f t="shared" si="107"/>
        <v>0</v>
      </c>
      <c r="BI90" s="26">
        <f t="shared" si="108"/>
        <v>0</v>
      </c>
      <c r="BJ90" s="26">
        <f t="shared" si="109"/>
        <v>0</v>
      </c>
      <c r="BK90" s="26" t="s">
        <v>526</v>
      </c>
      <c r="BL90" s="36">
        <v>735</v>
      </c>
    </row>
    <row r="91" spans="1:64" ht="12.75">
      <c r="A91" s="5" t="s">
        <v>73</v>
      </c>
      <c r="B91" s="16" t="s">
        <v>207</v>
      </c>
      <c r="C91" s="16" t="s">
        <v>281</v>
      </c>
      <c r="D91" s="127" t="s">
        <v>404</v>
      </c>
      <c r="E91" s="128"/>
      <c r="F91" s="128"/>
      <c r="G91" s="128"/>
      <c r="H91" s="128"/>
      <c r="I91" s="16" t="s">
        <v>460</v>
      </c>
      <c r="J91" s="26">
        <v>0.96</v>
      </c>
      <c r="K91" s="26">
        <v>0</v>
      </c>
      <c r="L91" s="26">
        <f t="shared" si="88"/>
        <v>0</v>
      </c>
      <c r="M91" s="26">
        <f t="shared" si="89"/>
        <v>0</v>
      </c>
      <c r="N91" s="46">
        <f t="shared" si="90"/>
        <v>0</v>
      </c>
      <c r="O91" s="7"/>
      <c r="Z91" s="36">
        <f t="shared" si="91"/>
        <v>0</v>
      </c>
      <c r="AB91" s="36">
        <f t="shared" si="92"/>
        <v>0</v>
      </c>
      <c r="AC91" s="36">
        <f t="shared" si="93"/>
        <v>0</v>
      </c>
      <c r="AD91" s="36">
        <f t="shared" si="94"/>
        <v>0</v>
      </c>
      <c r="AE91" s="36">
        <f t="shared" si="95"/>
        <v>0</v>
      </c>
      <c r="AF91" s="36">
        <f t="shared" si="96"/>
        <v>0</v>
      </c>
      <c r="AG91" s="36">
        <f t="shared" si="97"/>
        <v>0</v>
      </c>
      <c r="AH91" s="36">
        <f t="shared" si="98"/>
        <v>0</v>
      </c>
      <c r="AI91" s="35" t="s">
        <v>207</v>
      </c>
      <c r="AJ91" s="26">
        <f t="shared" si="99"/>
        <v>0</v>
      </c>
      <c r="AK91" s="26">
        <f t="shared" si="100"/>
        <v>0</v>
      </c>
      <c r="AL91" s="26">
        <f t="shared" si="101"/>
        <v>0</v>
      </c>
      <c r="AN91" s="36">
        <v>21</v>
      </c>
      <c r="AO91" s="36">
        <f>K91*0</f>
        <v>0</v>
      </c>
      <c r="AP91" s="36">
        <f>K91*(1-0)</f>
        <v>0</v>
      </c>
      <c r="AQ91" s="37" t="s">
        <v>13</v>
      </c>
      <c r="AV91" s="36">
        <f t="shared" si="102"/>
        <v>0</v>
      </c>
      <c r="AW91" s="36">
        <f t="shared" si="103"/>
        <v>0</v>
      </c>
      <c r="AX91" s="36">
        <f t="shared" si="104"/>
        <v>0</v>
      </c>
      <c r="AY91" s="39" t="s">
        <v>495</v>
      </c>
      <c r="AZ91" s="39" t="s">
        <v>508</v>
      </c>
      <c r="BA91" s="35" t="s">
        <v>520</v>
      </c>
      <c r="BC91" s="36">
        <f t="shared" si="105"/>
        <v>0</v>
      </c>
      <c r="BD91" s="36">
        <f t="shared" si="106"/>
        <v>0</v>
      </c>
      <c r="BE91" s="36">
        <v>0</v>
      </c>
      <c r="BF91" s="36">
        <f>91</f>
        <v>91</v>
      </c>
      <c r="BH91" s="26">
        <f t="shared" si="107"/>
        <v>0</v>
      </c>
      <c r="BI91" s="26">
        <f t="shared" si="108"/>
        <v>0</v>
      </c>
      <c r="BJ91" s="26">
        <f t="shared" si="109"/>
        <v>0</v>
      </c>
      <c r="BK91" s="26" t="s">
        <v>526</v>
      </c>
      <c r="BL91" s="36">
        <v>735</v>
      </c>
    </row>
    <row r="92" spans="1:64" ht="12.75">
      <c r="A92" s="5" t="s">
        <v>74</v>
      </c>
      <c r="B92" s="16" t="s">
        <v>207</v>
      </c>
      <c r="C92" s="16" t="s">
        <v>282</v>
      </c>
      <c r="D92" s="127" t="s">
        <v>405</v>
      </c>
      <c r="E92" s="128"/>
      <c r="F92" s="128"/>
      <c r="G92" s="128"/>
      <c r="H92" s="128"/>
      <c r="I92" s="16" t="s">
        <v>460</v>
      </c>
      <c r="J92" s="26">
        <v>0.96</v>
      </c>
      <c r="K92" s="26">
        <v>0</v>
      </c>
      <c r="L92" s="26">
        <f t="shared" si="88"/>
        <v>0</v>
      </c>
      <c r="M92" s="26">
        <f t="shared" si="89"/>
        <v>0</v>
      </c>
      <c r="N92" s="46">
        <f t="shared" si="90"/>
        <v>0</v>
      </c>
      <c r="O92" s="7"/>
      <c r="Z92" s="36">
        <f t="shared" si="91"/>
        <v>0</v>
      </c>
      <c r="AB92" s="36">
        <f t="shared" si="92"/>
        <v>0</v>
      </c>
      <c r="AC92" s="36">
        <f t="shared" si="93"/>
        <v>0</v>
      </c>
      <c r="AD92" s="36">
        <f t="shared" si="94"/>
        <v>0</v>
      </c>
      <c r="AE92" s="36">
        <f t="shared" si="95"/>
        <v>0</v>
      </c>
      <c r="AF92" s="36">
        <f t="shared" si="96"/>
        <v>0</v>
      </c>
      <c r="AG92" s="36">
        <f t="shared" si="97"/>
        <v>0</v>
      </c>
      <c r="AH92" s="36">
        <f t="shared" si="98"/>
        <v>0</v>
      </c>
      <c r="AI92" s="35" t="s">
        <v>207</v>
      </c>
      <c r="AJ92" s="26">
        <f t="shared" si="99"/>
        <v>0</v>
      </c>
      <c r="AK92" s="26">
        <f t="shared" si="100"/>
        <v>0</v>
      </c>
      <c r="AL92" s="26">
        <f t="shared" si="101"/>
        <v>0</v>
      </c>
      <c r="AN92" s="36">
        <v>21</v>
      </c>
      <c r="AO92" s="36">
        <f>K92*0</f>
        <v>0</v>
      </c>
      <c r="AP92" s="36">
        <f>K92*(1-0)</f>
        <v>0</v>
      </c>
      <c r="AQ92" s="37" t="s">
        <v>13</v>
      </c>
      <c r="AV92" s="36">
        <f t="shared" si="102"/>
        <v>0</v>
      </c>
      <c r="AW92" s="36">
        <f t="shared" si="103"/>
        <v>0</v>
      </c>
      <c r="AX92" s="36">
        <f t="shared" si="104"/>
        <v>0</v>
      </c>
      <c r="AY92" s="39" t="s">
        <v>495</v>
      </c>
      <c r="AZ92" s="39" t="s">
        <v>508</v>
      </c>
      <c r="BA92" s="35" t="s">
        <v>520</v>
      </c>
      <c r="BC92" s="36">
        <f t="shared" si="105"/>
        <v>0</v>
      </c>
      <c r="BD92" s="36">
        <f t="shared" si="106"/>
        <v>0</v>
      </c>
      <c r="BE92" s="36">
        <v>0</v>
      </c>
      <c r="BF92" s="36">
        <f>92</f>
        <v>92</v>
      </c>
      <c r="BH92" s="26">
        <f t="shared" si="107"/>
        <v>0</v>
      </c>
      <c r="BI92" s="26">
        <f t="shared" si="108"/>
        <v>0</v>
      </c>
      <c r="BJ92" s="26">
        <f t="shared" si="109"/>
        <v>0</v>
      </c>
      <c r="BK92" s="26" t="s">
        <v>526</v>
      </c>
      <c r="BL92" s="36">
        <v>735</v>
      </c>
    </row>
    <row r="93" spans="1:64" ht="12.75">
      <c r="A93" s="5" t="s">
        <v>75</v>
      </c>
      <c r="B93" s="16" t="s">
        <v>207</v>
      </c>
      <c r="C93" s="16" t="s">
        <v>283</v>
      </c>
      <c r="D93" s="127" t="s">
        <v>406</v>
      </c>
      <c r="E93" s="128"/>
      <c r="F93" s="128"/>
      <c r="G93" s="128"/>
      <c r="H93" s="128"/>
      <c r="I93" s="16" t="s">
        <v>460</v>
      </c>
      <c r="J93" s="26">
        <v>0.96</v>
      </c>
      <c r="K93" s="26">
        <v>0</v>
      </c>
      <c r="L93" s="26">
        <f t="shared" si="88"/>
        <v>0</v>
      </c>
      <c r="M93" s="26">
        <f t="shared" si="89"/>
        <v>0</v>
      </c>
      <c r="N93" s="46">
        <f t="shared" si="90"/>
        <v>0</v>
      </c>
      <c r="O93" s="7"/>
      <c r="Z93" s="36">
        <f t="shared" si="91"/>
        <v>0</v>
      </c>
      <c r="AB93" s="36">
        <f t="shared" si="92"/>
        <v>0</v>
      </c>
      <c r="AC93" s="36">
        <f t="shared" si="93"/>
        <v>0</v>
      </c>
      <c r="AD93" s="36">
        <f t="shared" si="94"/>
        <v>0</v>
      </c>
      <c r="AE93" s="36">
        <f t="shared" si="95"/>
        <v>0</v>
      </c>
      <c r="AF93" s="36">
        <f t="shared" si="96"/>
        <v>0</v>
      </c>
      <c r="AG93" s="36">
        <f t="shared" si="97"/>
        <v>0</v>
      </c>
      <c r="AH93" s="36">
        <f t="shared" si="98"/>
        <v>0</v>
      </c>
      <c r="AI93" s="35" t="s">
        <v>207</v>
      </c>
      <c r="AJ93" s="26">
        <f t="shared" si="99"/>
        <v>0</v>
      </c>
      <c r="AK93" s="26">
        <f t="shared" si="100"/>
        <v>0</v>
      </c>
      <c r="AL93" s="26">
        <f t="shared" si="101"/>
        <v>0</v>
      </c>
      <c r="AN93" s="36">
        <v>21</v>
      </c>
      <c r="AO93" s="36">
        <f>K93*0</f>
        <v>0</v>
      </c>
      <c r="AP93" s="36">
        <f>K93*(1-0)</f>
        <v>0</v>
      </c>
      <c r="AQ93" s="37" t="s">
        <v>13</v>
      </c>
      <c r="AV93" s="36">
        <f t="shared" si="102"/>
        <v>0</v>
      </c>
      <c r="AW93" s="36">
        <f t="shared" si="103"/>
        <v>0</v>
      </c>
      <c r="AX93" s="36">
        <f t="shared" si="104"/>
        <v>0</v>
      </c>
      <c r="AY93" s="39" t="s">
        <v>495</v>
      </c>
      <c r="AZ93" s="39" t="s">
        <v>508</v>
      </c>
      <c r="BA93" s="35" t="s">
        <v>520</v>
      </c>
      <c r="BC93" s="36">
        <f t="shared" si="105"/>
        <v>0</v>
      </c>
      <c r="BD93" s="36">
        <f t="shared" si="106"/>
        <v>0</v>
      </c>
      <c r="BE93" s="36">
        <v>0</v>
      </c>
      <c r="BF93" s="36">
        <f>93</f>
        <v>93</v>
      </c>
      <c r="BH93" s="26">
        <f t="shared" si="107"/>
        <v>0</v>
      </c>
      <c r="BI93" s="26">
        <f t="shared" si="108"/>
        <v>0</v>
      </c>
      <c r="BJ93" s="26">
        <f t="shared" si="109"/>
        <v>0</v>
      </c>
      <c r="BK93" s="26" t="s">
        <v>526</v>
      </c>
      <c r="BL93" s="36">
        <v>735</v>
      </c>
    </row>
    <row r="94" spans="1:64" ht="12.75">
      <c r="A94" s="5" t="s">
        <v>76</v>
      </c>
      <c r="B94" s="16" t="s">
        <v>207</v>
      </c>
      <c r="C94" s="16" t="s">
        <v>242</v>
      </c>
      <c r="D94" s="127" t="s">
        <v>365</v>
      </c>
      <c r="E94" s="128"/>
      <c r="F94" s="128"/>
      <c r="G94" s="128"/>
      <c r="H94" s="128"/>
      <c r="I94" s="16" t="s">
        <v>465</v>
      </c>
      <c r="J94" s="26">
        <v>1</v>
      </c>
      <c r="K94" s="26">
        <v>0</v>
      </c>
      <c r="L94" s="26">
        <f t="shared" si="88"/>
        <v>0</v>
      </c>
      <c r="M94" s="26">
        <f t="shared" si="89"/>
        <v>0</v>
      </c>
      <c r="N94" s="46">
        <f t="shared" si="90"/>
        <v>0</v>
      </c>
      <c r="O94" s="7"/>
      <c r="Z94" s="36">
        <f t="shared" si="91"/>
        <v>0</v>
      </c>
      <c r="AB94" s="36">
        <f t="shared" si="92"/>
        <v>0</v>
      </c>
      <c r="AC94" s="36">
        <f t="shared" si="93"/>
        <v>0</v>
      </c>
      <c r="AD94" s="36">
        <f t="shared" si="94"/>
        <v>0</v>
      </c>
      <c r="AE94" s="36">
        <f t="shared" si="95"/>
        <v>0</v>
      </c>
      <c r="AF94" s="36">
        <f t="shared" si="96"/>
        <v>0</v>
      </c>
      <c r="AG94" s="36">
        <f t="shared" si="97"/>
        <v>0</v>
      </c>
      <c r="AH94" s="36">
        <f t="shared" si="98"/>
        <v>0</v>
      </c>
      <c r="AI94" s="35" t="s">
        <v>207</v>
      </c>
      <c r="AJ94" s="26">
        <f t="shared" si="99"/>
        <v>0</v>
      </c>
      <c r="AK94" s="26">
        <f t="shared" si="100"/>
        <v>0</v>
      </c>
      <c r="AL94" s="26">
        <f t="shared" si="101"/>
        <v>0</v>
      </c>
      <c r="AN94" s="36">
        <v>21</v>
      </c>
      <c r="AO94" s="36">
        <f>K94*0</f>
        <v>0</v>
      </c>
      <c r="AP94" s="36">
        <f>K94*(1-0)</f>
        <v>0</v>
      </c>
      <c r="AQ94" s="37" t="s">
        <v>13</v>
      </c>
      <c r="AV94" s="36">
        <f t="shared" si="102"/>
        <v>0</v>
      </c>
      <c r="AW94" s="36">
        <f t="shared" si="103"/>
        <v>0</v>
      </c>
      <c r="AX94" s="36">
        <f t="shared" si="104"/>
        <v>0</v>
      </c>
      <c r="AY94" s="39" t="s">
        <v>495</v>
      </c>
      <c r="AZ94" s="39" t="s">
        <v>508</v>
      </c>
      <c r="BA94" s="35" t="s">
        <v>520</v>
      </c>
      <c r="BC94" s="36">
        <f t="shared" si="105"/>
        <v>0</v>
      </c>
      <c r="BD94" s="36">
        <f t="shared" si="106"/>
        <v>0</v>
      </c>
      <c r="BE94" s="36">
        <v>0</v>
      </c>
      <c r="BF94" s="36">
        <f>94</f>
        <v>94</v>
      </c>
      <c r="BH94" s="26">
        <f t="shared" si="107"/>
        <v>0</v>
      </c>
      <c r="BI94" s="26">
        <f t="shared" si="108"/>
        <v>0</v>
      </c>
      <c r="BJ94" s="26">
        <f t="shared" si="109"/>
        <v>0</v>
      </c>
      <c r="BK94" s="26" t="s">
        <v>526</v>
      </c>
      <c r="BL94" s="36">
        <v>735</v>
      </c>
    </row>
    <row r="95" spans="1:64" ht="12.75">
      <c r="A95" s="5" t="s">
        <v>77</v>
      </c>
      <c r="B95" s="16" t="s">
        <v>207</v>
      </c>
      <c r="C95" s="16" t="s">
        <v>284</v>
      </c>
      <c r="D95" s="127" t="s">
        <v>407</v>
      </c>
      <c r="E95" s="128"/>
      <c r="F95" s="128"/>
      <c r="G95" s="128"/>
      <c r="H95" s="128"/>
      <c r="I95" s="16" t="s">
        <v>463</v>
      </c>
      <c r="J95" s="26">
        <v>0.5</v>
      </c>
      <c r="K95" s="26">
        <v>0</v>
      </c>
      <c r="L95" s="26">
        <f t="shared" si="88"/>
        <v>0</v>
      </c>
      <c r="M95" s="26">
        <f t="shared" si="89"/>
        <v>0</v>
      </c>
      <c r="N95" s="46">
        <f t="shared" si="90"/>
        <v>0</v>
      </c>
      <c r="O95" s="7"/>
      <c r="Z95" s="36">
        <f t="shared" si="91"/>
        <v>0</v>
      </c>
      <c r="AB95" s="36">
        <f t="shared" si="92"/>
        <v>0</v>
      </c>
      <c r="AC95" s="36">
        <f t="shared" si="93"/>
        <v>0</v>
      </c>
      <c r="AD95" s="36">
        <f t="shared" si="94"/>
        <v>0</v>
      </c>
      <c r="AE95" s="36">
        <f t="shared" si="95"/>
        <v>0</v>
      </c>
      <c r="AF95" s="36">
        <f t="shared" si="96"/>
        <v>0</v>
      </c>
      <c r="AG95" s="36">
        <f t="shared" si="97"/>
        <v>0</v>
      </c>
      <c r="AH95" s="36">
        <f t="shared" si="98"/>
        <v>0</v>
      </c>
      <c r="AI95" s="35" t="s">
        <v>207</v>
      </c>
      <c r="AJ95" s="26">
        <f t="shared" si="99"/>
        <v>0</v>
      </c>
      <c r="AK95" s="26">
        <f t="shared" si="100"/>
        <v>0</v>
      </c>
      <c r="AL95" s="26">
        <f t="shared" si="101"/>
        <v>0</v>
      </c>
      <c r="AN95" s="36">
        <v>21</v>
      </c>
      <c r="AO95" s="36">
        <f>K95*0</f>
        <v>0</v>
      </c>
      <c r="AP95" s="36">
        <f>K95*(1-0)</f>
        <v>0</v>
      </c>
      <c r="AQ95" s="37" t="s">
        <v>11</v>
      </c>
      <c r="AV95" s="36">
        <f t="shared" si="102"/>
        <v>0</v>
      </c>
      <c r="AW95" s="36">
        <f t="shared" si="103"/>
        <v>0</v>
      </c>
      <c r="AX95" s="36">
        <f t="shared" si="104"/>
        <v>0</v>
      </c>
      <c r="AY95" s="39" t="s">
        <v>495</v>
      </c>
      <c r="AZ95" s="39" t="s">
        <v>508</v>
      </c>
      <c r="BA95" s="35" t="s">
        <v>520</v>
      </c>
      <c r="BC95" s="36">
        <f t="shared" si="105"/>
        <v>0</v>
      </c>
      <c r="BD95" s="36">
        <f t="shared" si="106"/>
        <v>0</v>
      </c>
      <c r="BE95" s="36">
        <v>0</v>
      </c>
      <c r="BF95" s="36">
        <f>95</f>
        <v>95</v>
      </c>
      <c r="BH95" s="26">
        <f t="shared" si="107"/>
        <v>0</v>
      </c>
      <c r="BI95" s="26">
        <f t="shared" si="108"/>
        <v>0</v>
      </c>
      <c r="BJ95" s="26">
        <f t="shared" si="109"/>
        <v>0</v>
      </c>
      <c r="BK95" s="26" t="s">
        <v>526</v>
      </c>
      <c r="BL95" s="36">
        <v>735</v>
      </c>
    </row>
    <row r="96" spans="1:47" ht="12.75">
      <c r="A96" s="4"/>
      <c r="B96" s="15" t="s">
        <v>207</v>
      </c>
      <c r="C96" s="15" t="s">
        <v>27</v>
      </c>
      <c r="D96" s="129" t="s">
        <v>408</v>
      </c>
      <c r="E96" s="130"/>
      <c r="F96" s="130"/>
      <c r="G96" s="130"/>
      <c r="H96" s="130"/>
      <c r="I96" s="23" t="s">
        <v>6</v>
      </c>
      <c r="J96" s="23" t="s">
        <v>6</v>
      </c>
      <c r="K96" s="23" t="s">
        <v>6</v>
      </c>
      <c r="L96" s="42">
        <f>SUM(L97:L108)</f>
        <v>0</v>
      </c>
      <c r="M96" s="42">
        <f>SUM(M97:M108)</f>
        <v>0</v>
      </c>
      <c r="N96" s="45">
        <f>SUM(N97:N108)</f>
        <v>0</v>
      </c>
      <c r="O96" s="7"/>
      <c r="AI96" s="35" t="s">
        <v>207</v>
      </c>
      <c r="AS96" s="42">
        <f>SUM(AJ97:AJ108)</f>
        <v>0</v>
      </c>
      <c r="AT96" s="42">
        <f>SUM(AK97:AK108)</f>
        <v>0</v>
      </c>
      <c r="AU96" s="42">
        <f>SUM(AL97:AL108)</f>
        <v>0</v>
      </c>
    </row>
    <row r="97" spans="1:64" ht="12.75">
      <c r="A97" s="5" t="s">
        <v>78</v>
      </c>
      <c r="B97" s="16" t="s">
        <v>207</v>
      </c>
      <c r="C97" s="16" t="s">
        <v>285</v>
      </c>
      <c r="D97" s="127" t="s">
        <v>409</v>
      </c>
      <c r="E97" s="128"/>
      <c r="F97" s="128"/>
      <c r="G97" s="128"/>
      <c r="H97" s="128"/>
      <c r="I97" s="16" t="s">
        <v>462</v>
      </c>
      <c r="J97" s="26">
        <v>1</v>
      </c>
      <c r="K97" s="26">
        <v>0</v>
      </c>
      <c r="L97" s="26">
        <f aca="true" t="shared" si="110" ref="L97:L104">J97*AO97</f>
        <v>0</v>
      </c>
      <c r="M97" s="26">
        <f aca="true" t="shared" si="111" ref="M97:M104">J97*AP97</f>
        <v>0</v>
      </c>
      <c r="N97" s="46">
        <f aca="true" t="shared" si="112" ref="N97:N104">J97*K97</f>
        <v>0</v>
      </c>
      <c r="O97" s="7"/>
      <c r="Z97" s="36">
        <f aca="true" t="shared" si="113" ref="Z97:Z104">IF(AQ97="5",BJ97,0)</f>
        <v>0</v>
      </c>
      <c r="AB97" s="36">
        <f aca="true" t="shared" si="114" ref="AB97:AB104">IF(AQ97="1",BH97,0)</f>
        <v>0</v>
      </c>
      <c r="AC97" s="36">
        <f aca="true" t="shared" si="115" ref="AC97:AC104">IF(AQ97="1",BI97,0)</f>
        <v>0</v>
      </c>
      <c r="AD97" s="36">
        <f aca="true" t="shared" si="116" ref="AD97:AD104">IF(AQ97="7",BH97,0)</f>
        <v>0</v>
      </c>
      <c r="AE97" s="36">
        <f aca="true" t="shared" si="117" ref="AE97:AE104">IF(AQ97="7",BI97,0)</f>
        <v>0</v>
      </c>
      <c r="AF97" s="36">
        <f aca="true" t="shared" si="118" ref="AF97:AF104">IF(AQ97="2",BH97,0)</f>
        <v>0</v>
      </c>
      <c r="AG97" s="36">
        <f aca="true" t="shared" si="119" ref="AG97:AG104">IF(AQ97="2",BI97,0)</f>
        <v>0</v>
      </c>
      <c r="AH97" s="36">
        <f aca="true" t="shared" si="120" ref="AH97:AH104">IF(AQ97="0",BJ97,0)</f>
        <v>0</v>
      </c>
      <c r="AI97" s="35" t="s">
        <v>207</v>
      </c>
      <c r="AJ97" s="26">
        <f aca="true" t="shared" si="121" ref="AJ97:AJ104">IF(AN97=0,N97,0)</f>
        <v>0</v>
      </c>
      <c r="AK97" s="26">
        <f aca="true" t="shared" si="122" ref="AK97:AK104">IF(AN97=15,N97,0)</f>
        <v>0</v>
      </c>
      <c r="AL97" s="26">
        <f aca="true" t="shared" si="123" ref="AL97:AL104">IF(AN97=21,N97,0)</f>
        <v>0</v>
      </c>
      <c r="AN97" s="36">
        <v>21</v>
      </c>
      <c r="AO97" s="36">
        <f>K97*0.512648083623693</f>
        <v>0</v>
      </c>
      <c r="AP97" s="36">
        <f>K97*(1-0.512648083623693)</f>
        <v>0</v>
      </c>
      <c r="AQ97" s="37" t="s">
        <v>8</v>
      </c>
      <c r="AV97" s="36">
        <f aca="true" t="shared" si="124" ref="AV97:AV104">AW97+AX97</f>
        <v>0</v>
      </c>
      <c r="AW97" s="36">
        <f aca="true" t="shared" si="125" ref="AW97:AW104">J97*AO97</f>
        <v>0</v>
      </c>
      <c r="AX97" s="36">
        <f aca="true" t="shared" si="126" ref="AX97:AX104">J97*AP97</f>
        <v>0</v>
      </c>
      <c r="AY97" s="39" t="s">
        <v>496</v>
      </c>
      <c r="AZ97" s="39" t="s">
        <v>509</v>
      </c>
      <c r="BA97" s="35" t="s">
        <v>520</v>
      </c>
      <c r="BC97" s="36">
        <f aca="true" t="shared" si="127" ref="BC97:BC104">AW97+AX97</f>
        <v>0</v>
      </c>
      <c r="BD97" s="36">
        <f aca="true" t="shared" si="128" ref="BD97:BD104">K97/(100-BE97)*100</f>
        <v>0</v>
      </c>
      <c r="BE97" s="36">
        <v>0</v>
      </c>
      <c r="BF97" s="36">
        <f>97</f>
        <v>97</v>
      </c>
      <c r="BH97" s="26">
        <f aca="true" t="shared" si="129" ref="BH97:BH104">J97*AO97</f>
        <v>0</v>
      </c>
      <c r="BI97" s="26">
        <f aca="true" t="shared" si="130" ref="BI97:BI104">J97*AP97</f>
        <v>0</v>
      </c>
      <c r="BJ97" s="26">
        <f aca="true" t="shared" si="131" ref="BJ97:BJ104">J97*K97</f>
        <v>0</v>
      </c>
      <c r="BK97" s="26" t="s">
        <v>526</v>
      </c>
      <c r="BL97" s="36">
        <v>21</v>
      </c>
    </row>
    <row r="98" spans="1:64" ht="12.75">
      <c r="A98" s="5" t="s">
        <v>79</v>
      </c>
      <c r="B98" s="16" t="s">
        <v>207</v>
      </c>
      <c r="C98" s="16" t="s">
        <v>286</v>
      </c>
      <c r="D98" s="127" t="s">
        <v>410</v>
      </c>
      <c r="E98" s="128"/>
      <c r="F98" s="128"/>
      <c r="G98" s="128"/>
      <c r="H98" s="128"/>
      <c r="I98" s="16" t="s">
        <v>462</v>
      </c>
      <c r="J98" s="26">
        <v>1</v>
      </c>
      <c r="K98" s="26">
        <v>0</v>
      </c>
      <c r="L98" s="26">
        <f t="shared" si="110"/>
        <v>0</v>
      </c>
      <c r="M98" s="26">
        <f t="shared" si="111"/>
        <v>0</v>
      </c>
      <c r="N98" s="46">
        <f t="shared" si="112"/>
        <v>0</v>
      </c>
      <c r="O98" s="7"/>
      <c r="Z98" s="36">
        <f t="shared" si="113"/>
        <v>0</v>
      </c>
      <c r="AB98" s="36">
        <f t="shared" si="114"/>
        <v>0</v>
      </c>
      <c r="AC98" s="36">
        <f t="shared" si="115"/>
        <v>0</v>
      </c>
      <c r="AD98" s="36">
        <f t="shared" si="116"/>
        <v>0</v>
      </c>
      <c r="AE98" s="36">
        <f t="shared" si="117"/>
        <v>0</v>
      </c>
      <c r="AF98" s="36">
        <f t="shared" si="118"/>
        <v>0</v>
      </c>
      <c r="AG98" s="36">
        <f t="shared" si="119"/>
        <v>0</v>
      </c>
      <c r="AH98" s="36">
        <f t="shared" si="120"/>
        <v>0</v>
      </c>
      <c r="AI98" s="35" t="s">
        <v>207</v>
      </c>
      <c r="AJ98" s="26">
        <f t="shared" si="121"/>
        <v>0</v>
      </c>
      <c r="AK98" s="26">
        <f t="shared" si="122"/>
        <v>0</v>
      </c>
      <c r="AL98" s="26">
        <f t="shared" si="123"/>
        <v>0</v>
      </c>
      <c r="AN98" s="36">
        <v>21</v>
      </c>
      <c r="AO98" s="36">
        <f>K98*0</f>
        <v>0</v>
      </c>
      <c r="AP98" s="36">
        <f>K98*(1-0)</f>
        <v>0</v>
      </c>
      <c r="AQ98" s="37" t="s">
        <v>8</v>
      </c>
      <c r="AV98" s="36">
        <f t="shared" si="124"/>
        <v>0</v>
      </c>
      <c r="AW98" s="36">
        <f t="shared" si="125"/>
        <v>0</v>
      </c>
      <c r="AX98" s="36">
        <f t="shared" si="126"/>
        <v>0</v>
      </c>
      <c r="AY98" s="39" t="s">
        <v>496</v>
      </c>
      <c r="AZ98" s="39" t="s">
        <v>509</v>
      </c>
      <c r="BA98" s="35" t="s">
        <v>520</v>
      </c>
      <c r="BC98" s="36">
        <f t="shared" si="127"/>
        <v>0</v>
      </c>
      <c r="BD98" s="36">
        <f t="shared" si="128"/>
        <v>0</v>
      </c>
      <c r="BE98" s="36">
        <v>0</v>
      </c>
      <c r="BF98" s="36">
        <f>98</f>
        <v>98</v>
      </c>
      <c r="BH98" s="26">
        <f t="shared" si="129"/>
        <v>0</v>
      </c>
      <c r="BI98" s="26">
        <f t="shared" si="130"/>
        <v>0</v>
      </c>
      <c r="BJ98" s="26">
        <f t="shared" si="131"/>
        <v>0</v>
      </c>
      <c r="BK98" s="26" t="s">
        <v>526</v>
      </c>
      <c r="BL98" s="36">
        <v>21</v>
      </c>
    </row>
    <row r="99" spans="1:64" ht="12.75">
      <c r="A99" s="5" t="s">
        <v>80</v>
      </c>
      <c r="B99" s="16" t="s">
        <v>207</v>
      </c>
      <c r="C99" s="16" t="s">
        <v>287</v>
      </c>
      <c r="D99" s="127" t="s">
        <v>411</v>
      </c>
      <c r="E99" s="128"/>
      <c r="F99" s="128"/>
      <c r="G99" s="128"/>
      <c r="H99" s="128"/>
      <c r="I99" s="16" t="s">
        <v>462</v>
      </c>
      <c r="J99" s="26">
        <v>2</v>
      </c>
      <c r="K99" s="26">
        <v>0</v>
      </c>
      <c r="L99" s="26">
        <f t="shared" si="110"/>
        <v>0</v>
      </c>
      <c r="M99" s="26">
        <f t="shared" si="111"/>
        <v>0</v>
      </c>
      <c r="N99" s="46">
        <f t="shared" si="112"/>
        <v>0</v>
      </c>
      <c r="O99" s="7"/>
      <c r="Z99" s="36">
        <f t="shared" si="113"/>
        <v>0</v>
      </c>
      <c r="AB99" s="36">
        <f t="shared" si="114"/>
        <v>0</v>
      </c>
      <c r="AC99" s="36">
        <f t="shared" si="115"/>
        <v>0</v>
      </c>
      <c r="AD99" s="36">
        <f t="shared" si="116"/>
        <v>0</v>
      </c>
      <c r="AE99" s="36">
        <f t="shared" si="117"/>
        <v>0</v>
      </c>
      <c r="AF99" s="36">
        <f t="shared" si="118"/>
        <v>0</v>
      </c>
      <c r="AG99" s="36">
        <f t="shared" si="119"/>
        <v>0</v>
      </c>
      <c r="AH99" s="36">
        <f t="shared" si="120"/>
        <v>0</v>
      </c>
      <c r="AI99" s="35" t="s">
        <v>207</v>
      </c>
      <c r="AJ99" s="26">
        <f t="shared" si="121"/>
        <v>0</v>
      </c>
      <c r="AK99" s="26">
        <f t="shared" si="122"/>
        <v>0</v>
      </c>
      <c r="AL99" s="26">
        <f t="shared" si="123"/>
        <v>0</v>
      </c>
      <c r="AN99" s="36">
        <v>21</v>
      </c>
      <c r="AO99" s="36">
        <f>K99*0</f>
        <v>0</v>
      </c>
      <c r="AP99" s="36">
        <f>K99*(1-0)</f>
        <v>0</v>
      </c>
      <c r="AQ99" s="37" t="s">
        <v>8</v>
      </c>
      <c r="AV99" s="36">
        <f t="shared" si="124"/>
        <v>0</v>
      </c>
      <c r="AW99" s="36">
        <f t="shared" si="125"/>
        <v>0</v>
      </c>
      <c r="AX99" s="36">
        <f t="shared" si="126"/>
        <v>0</v>
      </c>
      <c r="AY99" s="39" t="s">
        <v>496</v>
      </c>
      <c r="AZ99" s="39" t="s">
        <v>509</v>
      </c>
      <c r="BA99" s="35" t="s">
        <v>520</v>
      </c>
      <c r="BC99" s="36">
        <f t="shared" si="127"/>
        <v>0</v>
      </c>
      <c r="BD99" s="36">
        <f t="shared" si="128"/>
        <v>0</v>
      </c>
      <c r="BE99" s="36">
        <v>0</v>
      </c>
      <c r="BF99" s="36">
        <f>99</f>
        <v>99</v>
      </c>
      <c r="BH99" s="26">
        <f t="shared" si="129"/>
        <v>0</v>
      </c>
      <c r="BI99" s="26">
        <f t="shared" si="130"/>
        <v>0</v>
      </c>
      <c r="BJ99" s="26">
        <f t="shared" si="131"/>
        <v>0</v>
      </c>
      <c r="BK99" s="26" t="s">
        <v>526</v>
      </c>
      <c r="BL99" s="36">
        <v>21</v>
      </c>
    </row>
    <row r="100" spans="1:64" ht="12.75">
      <c r="A100" s="5" t="s">
        <v>81</v>
      </c>
      <c r="B100" s="16" t="s">
        <v>207</v>
      </c>
      <c r="C100" s="16" t="s">
        <v>288</v>
      </c>
      <c r="D100" s="127" t="s">
        <v>412</v>
      </c>
      <c r="E100" s="128"/>
      <c r="F100" s="128"/>
      <c r="G100" s="128"/>
      <c r="H100" s="128"/>
      <c r="I100" s="16" t="s">
        <v>462</v>
      </c>
      <c r="J100" s="26">
        <v>2</v>
      </c>
      <c r="K100" s="26">
        <v>0</v>
      </c>
      <c r="L100" s="26">
        <f t="shared" si="110"/>
        <v>0</v>
      </c>
      <c r="M100" s="26">
        <f t="shared" si="111"/>
        <v>0</v>
      </c>
      <c r="N100" s="46">
        <f t="shared" si="112"/>
        <v>0</v>
      </c>
      <c r="O100" s="7"/>
      <c r="Z100" s="36">
        <f t="shared" si="113"/>
        <v>0</v>
      </c>
      <c r="AB100" s="36">
        <f t="shared" si="114"/>
        <v>0</v>
      </c>
      <c r="AC100" s="36">
        <f t="shared" si="115"/>
        <v>0</v>
      </c>
      <c r="AD100" s="36">
        <f t="shared" si="116"/>
        <v>0</v>
      </c>
      <c r="AE100" s="36">
        <f t="shared" si="117"/>
        <v>0</v>
      </c>
      <c r="AF100" s="36">
        <f t="shared" si="118"/>
        <v>0</v>
      </c>
      <c r="AG100" s="36">
        <f t="shared" si="119"/>
        <v>0</v>
      </c>
      <c r="AH100" s="36">
        <f t="shared" si="120"/>
        <v>0</v>
      </c>
      <c r="AI100" s="35" t="s">
        <v>207</v>
      </c>
      <c r="AJ100" s="26">
        <f t="shared" si="121"/>
        <v>0</v>
      </c>
      <c r="AK100" s="26">
        <f t="shared" si="122"/>
        <v>0</v>
      </c>
      <c r="AL100" s="26">
        <f t="shared" si="123"/>
        <v>0</v>
      </c>
      <c r="AN100" s="36">
        <v>21</v>
      </c>
      <c r="AO100" s="36">
        <f>K100*0.41440355568948</f>
        <v>0</v>
      </c>
      <c r="AP100" s="36">
        <f>K100*(1-0.41440355568948)</f>
        <v>0</v>
      </c>
      <c r="AQ100" s="37" t="s">
        <v>8</v>
      </c>
      <c r="AV100" s="36">
        <f t="shared" si="124"/>
        <v>0</v>
      </c>
      <c r="AW100" s="36">
        <f t="shared" si="125"/>
        <v>0</v>
      </c>
      <c r="AX100" s="36">
        <f t="shared" si="126"/>
        <v>0</v>
      </c>
      <c r="AY100" s="39" t="s">
        <v>496</v>
      </c>
      <c r="AZ100" s="39" t="s">
        <v>509</v>
      </c>
      <c r="BA100" s="35" t="s">
        <v>520</v>
      </c>
      <c r="BC100" s="36">
        <f t="shared" si="127"/>
        <v>0</v>
      </c>
      <c r="BD100" s="36">
        <f t="shared" si="128"/>
        <v>0</v>
      </c>
      <c r="BE100" s="36">
        <v>0</v>
      </c>
      <c r="BF100" s="36">
        <f>100</f>
        <v>100</v>
      </c>
      <c r="BH100" s="26">
        <f t="shared" si="129"/>
        <v>0</v>
      </c>
      <c r="BI100" s="26">
        <f t="shared" si="130"/>
        <v>0</v>
      </c>
      <c r="BJ100" s="26">
        <f t="shared" si="131"/>
        <v>0</v>
      </c>
      <c r="BK100" s="26" t="s">
        <v>526</v>
      </c>
      <c r="BL100" s="36">
        <v>21</v>
      </c>
    </row>
    <row r="101" spans="1:64" ht="12.75">
      <c r="A101" s="5" t="s">
        <v>82</v>
      </c>
      <c r="B101" s="16" t="s">
        <v>207</v>
      </c>
      <c r="C101" s="16" t="s">
        <v>289</v>
      </c>
      <c r="D101" s="127" t="s">
        <v>413</v>
      </c>
      <c r="E101" s="128"/>
      <c r="F101" s="128"/>
      <c r="G101" s="128"/>
      <c r="H101" s="128"/>
      <c r="I101" s="16" t="s">
        <v>462</v>
      </c>
      <c r="J101" s="26">
        <v>2</v>
      </c>
      <c r="K101" s="26">
        <v>0</v>
      </c>
      <c r="L101" s="26">
        <f t="shared" si="110"/>
        <v>0</v>
      </c>
      <c r="M101" s="26">
        <f t="shared" si="111"/>
        <v>0</v>
      </c>
      <c r="N101" s="46">
        <f t="shared" si="112"/>
        <v>0</v>
      </c>
      <c r="O101" s="7"/>
      <c r="Z101" s="36">
        <f t="shared" si="113"/>
        <v>0</v>
      </c>
      <c r="AB101" s="36">
        <f t="shared" si="114"/>
        <v>0</v>
      </c>
      <c r="AC101" s="36">
        <f t="shared" si="115"/>
        <v>0</v>
      </c>
      <c r="AD101" s="36">
        <f t="shared" si="116"/>
        <v>0</v>
      </c>
      <c r="AE101" s="36">
        <f t="shared" si="117"/>
        <v>0</v>
      </c>
      <c r="AF101" s="36">
        <f t="shared" si="118"/>
        <v>0</v>
      </c>
      <c r="AG101" s="36">
        <f t="shared" si="119"/>
        <v>0</v>
      </c>
      <c r="AH101" s="36">
        <f t="shared" si="120"/>
        <v>0</v>
      </c>
      <c r="AI101" s="35" t="s">
        <v>207</v>
      </c>
      <c r="AJ101" s="26">
        <f t="shared" si="121"/>
        <v>0</v>
      </c>
      <c r="AK101" s="26">
        <f t="shared" si="122"/>
        <v>0</v>
      </c>
      <c r="AL101" s="26">
        <f t="shared" si="123"/>
        <v>0</v>
      </c>
      <c r="AN101" s="36">
        <v>21</v>
      </c>
      <c r="AO101" s="36">
        <f>K101*0</f>
        <v>0</v>
      </c>
      <c r="AP101" s="36">
        <f>K101*(1-0)</f>
        <v>0</v>
      </c>
      <c r="AQ101" s="37" t="s">
        <v>8</v>
      </c>
      <c r="AV101" s="36">
        <f t="shared" si="124"/>
        <v>0</v>
      </c>
      <c r="AW101" s="36">
        <f t="shared" si="125"/>
        <v>0</v>
      </c>
      <c r="AX101" s="36">
        <f t="shared" si="126"/>
        <v>0</v>
      </c>
      <c r="AY101" s="39" t="s">
        <v>496</v>
      </c>
      <c r="AZ101" s="39" t="s">
        <v>509</v>
      </c>
      <c r="BA101" s="35" t="s">
        <v>520</v>
      </c>
      <c r="BC101" s="36">
        <f t="shared" si="127"/>
        <v>0</v>
      </c>
      <c r="BD101" s="36">
        <f t="shared" si="128"/>
        <v>0</v>
      </c>
      <c r="BE101" s="36">
        <v>0</v>
      </c>
      <c r="BF101" s="36">
        <f>101</f>
        <v>101</v>
      </c>
      <c r="BH101" s="26">
        <f t="shared" si="129"/>
        <v>0</v>
      </c>
      <c r="BI101" s="26">
        <f t="shared" si="130"/>
        <v>0</v>
      </c>
      <c r="BJ101" s="26">
        <f t="shared" si="131"/>
        <v>0</v>
      </c>
      <c r="BK101" s="26" t="s">
        <v>526</v>
      </c>
      <c r="BL101" s="36">
        <v>21</v>
      </c>
    </row>
    <row r="102" spans="1:64" ht="12.75">
      <c r="A102" s="5" t="s">
        <v>83</v>
      </c>
      <c r="B102" s="16" t="s">
        <v>207</v>
      </c>
      <c r="C102" s="16" t="s">
        <v>290</v>
      </c>
      <c r="D102" s="127" t="s">
        <v>414</v>
      </c>
      <c r="E102" s="128"/>
      <c r="F102" s="128"/>
      <c r="G102" s="128"/>
      <c r="H102" s="128"/>
      <c r="I102" s="16" t="s">
        <v>462</v>
      </c>
      <c r="J102" s="26">
        <v>2</v>
      </c>
      <c r="K102" s="26">
        <v>0</v>
      </c>
      <c r="L102" s="26">
        <f t="shared" si="110"/>
        <v>0</v>
      </c>
      <c r="M102" s="26">
        <f t="shared" si="111"/>
        <v>0</v>
      </c>
      <c r="N102" s="46">
        <f t="shared" si="112"/>
        <v>0</v>
      </c>
      <c r="O102" s="7"/>
      <c r="Z102" s="36">
        <f t="shared" si="113"/>
        <v>0</v>
      </c>
      <c r="AB102" s="36">
        <f t="shared" si="114"/>
        <v>0</v>
      </c>
      <c r="AC102" s="36">
        <f t="shared" si="115"/>
        <v>0</v>
      </c>
      <c r="AD102" s="36">
        <f t="shared" si="116"/>
        <v>0</v>
      </c>
      <c r="AE102" s="36">
        <f t="shared" si="117"/>
        <v>0</v>
      </c>
      <c r="AF102" s="36">
        <f t="shared" si="118"/>
        <v>0</v>
      </c>
      <c r="AG102" s="36">
        <f t="shared" si="119"/>
        <v>0</v>
      </c>
      <c r="AH102" s="36">
        <f t="shared" si="120"/>
        <v>0</v>
      </c>
      <c r="AI102" s="35" t="s">
        <v>207</v>
      </c>
      <c r="AJ102" s="26">
        <f t="shared" si="121"/>
        <v>0</v>
      </c>
      <c r="AK102" s="26">
        <f t="shared" si="122"/>
        <v>0</v>
      </c>
      <c r="AL102" s="26">
        <f t="shared" si="123"/>
        <v>0</v>
      </c>
      <c r="AN102" s="36">
        <v>21</v>
      </c>
      <c r="AO102" s="36">
        <f>K102*0</f>
        <v>0</v>
      </c>
      <c r="AP102" s="36">
        <f>K102*(1-0)</f>
        <v>0</v>
      </c>
      <c r="AQ102" s="37" t="s">
        <v>8</v>
      </c>
      <c r="AV102" s="36">
        <f t="shared" si="124"/>
        <v>0</v>
      </c>
      <c r="AW102" s="36">
        <f t="shared" si="125"/>
        <v>0</v>
      </c>
      <c r="AX102" s="36">
        <f t="shared" si="126"/>
        <v>0</v>
      </c>
      <c r="AY102" s="39" t="s">
        <v>496</v>
      </c>
      <c r="AZ102" s="39" t="s">
        <v>509</v>
      </c>
      <c r="BA102" s="35" t="s">
        <v>520</v>
      </c>
      <c r="BC102" s="36">
        <f t="shared" si="127"/>
        <v>0</v>
      </c>
      <c r="BD102" s="36">
        <f t="shared" si="128"/>
        <v>0</v>
      </c>
      <c r="BE102" s="36">
        <v>0</v>
      </c>
      <c r="BF102" s="36">
        <f>102</f>
        <v>102</v>
      </c>
      <c r="BH102" s="26">
        <f t="shared" si="129"/>
        <v>0</v>
      </c>
      <c r="BI102" s="26">
        <f t="shared" si="130"/>
        <v>0</v>
      </c>
      <c r="BJ102" s="26">
        <f t="shared" si="131"/>
        <v>0</v>
      </c>
      <c r="BK102" s="26" t="s">
        <v>526</v>
      </c>
      <c r="BL102" s="36">
        <v>21</v>
      </c>
    </row>
    <row r="103" spans="1:64" ht="12.75">
      <c r="A103" s="5" t="s">
        <v>84</v>
      </c>
      <c r="B103" s="16" t="s">
        <v>207</v>
      </c>
      <c r="C103" s="16" t="s">
        <v>291</v>
      </c>
      <c r="D103" s="127" t="s">
        <v>415</v>
      </c>
      <c r="E103" s="128"/>
      <c r="F103" s="128"/>
      <c r="G103" s="128"/>
      <c r="H103" s="128"/>
      <c r="I103" s="16" t="s">
        <v>462</v>
      </c>
      <c r="J103" s="26">
        <v>4</v>
      </c>
      <c r="K103" s="26">
        <v>0</v>
      </c>
      <c r="L103" s="26">
        <f t="shared" si="110"/>
        <v>0</v>
      </c>
      <c r="M103" s="26">
        <f t="shared" si="111"/>
        <v>0</v>
      </c>
      <c r="N103" s="46">
        <f t="shared" si="112"/>
        <v>0</v>
      </c>
      <c r="O103" s="7"/>
      <c r="Z103" s="36">
        <f t="shared" si="113"/>
        <v>0</v>
      </c>
      <c r="AB103" s="36">
        <f t="shared" si="114"/>
        <v>0</v>
      </c>
      <c r="AC103" s="36">
        <f t="shared" si="115"/>
        <v>0</v>
      </c>
      <c r="AD103" s="36">
        <f t="shared" si="116"/>
        <v>0</v>
      </c>
      <c r="AE103" s="36">
        <f t="shared" si="117"/>
        <v>0</v>
      </c>
      <c r="AF103" s="36">
        <f t="shared" si="118"/>
        <v>0</v>
      </c>
      <c r="AG103" s="36">
        <f t="shared" si="119"/>
        <v>0</v>
      </c>
      <c r="AH103" s="36">
        <f t="shared" si="120"/>
        <v>0</v>
      </c>
      <c r="AI103" s="35" t="s">
        <v>207</v>
      </c>
      <c r="AJ103" s="26">
        <f t="shared" si="121"/>
        <v>0</v>
      </c>
      <c r="AK103" s="26">
        <f t="shared" si="122"/>
        <v>0</v>
      </c>
      <c r="AL103" s="26">
        <f t="shared" si="123"/>
        <v>0</v>
      </c>
      <c r="AN103" s="36">
        <v>21</v>
      </c>
      <c r="AO103" s="36">
        <f>K103*0</f>
        <v>0</v>
      </c>
      <c r="AP103" s="36">
        <f>K103*(1-0)</f>
        <v>0</v>
      </c>
      <c r="AQ103" s="37" t="s">
        <v>8</v>
      </c>
      <c r="AV103" s="36">
        <f t="shared" si="124"/>
        <v>0</v>
      </c>
      <c r="AW103" s="36">
        <f t="shared" si="125"/>
        <v>0</v>
      </c>
      <c r="AX103" s="36">
        <f t="shared" si="126"/>
        <v>0</v>
      </c>
      <c r="AY103" s="39" t="s">
        <v>496</v>
      </c>
      <c r="AZ103" s="39" t="s">
        <v>509</v>
      </c>
      <c r="BA103" s="35" t="s">
        <v>520</v>
      </c>
      <c r="BC103" s="36">
        <f t="shared" si="127"/>
        <v>0</v>
      </c>
      <c r="BD103" s="36">
        <f t="shared" si="128"/>
        <v>0</v>
      </c>
      <c r="BE103" s="36">
        <v>0</v>
      </c>
      <c r="BF103" s="36">
        <f>103</f>
        <v>103</v>
      </c>
      <c r="BH103" s="26">
        <f t="shared" si="129"/>
        <v>0</v>
      </c>
      <c r="BI103" s="26">
        <f t="shared" si="130"/>
        <v>0</v>
      </c>
      <c r="BJ103" s="26">
        <f t="shared" si="131"/>
        <v>0</v>
      </c>
      <c r="BK103" s="26" t="s">
        <v>526</v>
      </c>
      <c r="BL103" s="36">
        <v>21</v>
      </c>
    </row>
    <row r="104" spans="1:64" ht="12.75">
      <c r="A104" s="5" t="s">
        <v>85</v>
      </c>
      <c r="B104" s="16" t="s">
        <v>207</v>
      </c>
      <c r="C104" s="16" t="s">
        <v>292</v>
      </c>
      <c r="D104" s="127" t="s">
        <v>416</v>
      </c>
      <c r="E104" s="128"/>
      <c r="F104" s="128"/>
      <c r="G104" s="128"/>
      <c r="H104" s="128"/>
      <c r="I104" s="16" t="s">
        <v>465</v>
      </c>
      <c r="J104" s="26">
        <v>1</v>
      </c>
      <c r="K104" s="26">
        <v>0</v>
      </c>
      <c r="L104" s="26">
        <f t="shared" si="110"/>
        <v>0</v>
      </c>
      <c r="M104" s="26">
        <f t="shared" si="111"/>
        <v>0</v>
      </c>
      <c r="N104" s="46">
        <f t="shared" si="112"/>
        <v>0</v>
      </c>
      <c r="O104" s="7"/>
      <c r="Z104" s="36">
        <f t="shared" si="113"/>
        <v>0</v>
      </c>
      <c r="AB104" s="36">
        <f t="shared" si="114"/>
        <v>0</v>
      </c>
      <c r="AC104" s="36">
        <f t="shared" si="115"/>
        <v>0</v>
      </c>
      <c r="AD104" s="36">
        <f t="shared" si="116"/>
        <v>0</v>
      </c>
      <c r="AE104" s="36">
        <f t="shared" si="117"/>
        <v>0</v>
      </c>
      <c r="AF104" s="36">
        <f t="shared" si="118"/>
        <v>0</v>
      </c>
      <c r="AG104" s="36">
        <f t="shared" si="119"/>
        <v>0</v>
      </c>
      <c r="AH104" s="36">
        <f t="shared" si="120"/>
        <v>0</v>
      </c>
      <c r="AI104" s="35" t="s">
        <v>207</v>
      </c>
      <c r="AJ104" s="26">
        <f t="shared" si="121"/>
        <v>0</v>
      </c>
      <c r="AK104" s="26">
        <f t="shared" si="122"/>
        <v>0</v>
      </c>
      <c r="AL104" s="26">
        <f t="shared" si="123"/>
        <v>0</v>
      </c>
      <c r="AN104" s="36">
        <v>21</v>
      </c>
      <c r="AO104" s="36">
        <f>K104*0</f>
        <v>0</v>
      </c>
      <c r="AP104" s="36">
        <f>K104*(1-0)</f>
        <v>0</v>
      </c>
      <c r="AQ104" s="37" t="s">
        <v>7</v>
      </c>
      <c r="AV104" s="36">
        <f t="shared" si="124"/>
        <v>0</v>
      </c>
      <c r="AW104" s="36">
        <f t="shared" si="125"/>
        <v>0</v>
      </c>
      <c r="AX104" s="36">
        <f t="shared" si="126"/>
        <v>0</v>
      </c>
      <c r="AY104" s="39" t="s">
        <v>496</v>
      </c>
      <c r="AZ104" s="39" t="s">
        <v>509</v>
      </c>
      <c r="BA104" s="35" t="s">
        <v>520</v>
      </c>
      <c r="BC104" s="36">
        <f t="shared" si="127"/>
        <v>0</v>
      </c>
      <c r="BD104" s="36">
        <f t="shared" si="128"/>
        <v>0</v>
      </c>
      <c r="BE104" s="36">
        <v>0</v>
      </c>
      <c r="BF104" s="36">
        <f>104</f>
        <v>104</v>
      </c>
      <c r="BH104" s="26">
        <f t="shared" si="129"/>
        <v>0</v>
      </c>
      <c r="BI104" s="26">
        <f t="shared" si="130"/>
        <v>0</v>
      </c>
      <c r="BJ104" s="26">
        <f t="shared" si="131"/>
        <v>0</v>
      </c>
      <c r="BK104" s="26" t="s">
        <v>526</v>
      </c>
      <c r="BL104" s="36">
        <v>21</v>
      </c>
    </row>
    <row r="105" spans="1:15" ht="12.75">
      <c r="A105" s="7"/>
      <c r="C105" s="20" t="s">
        <v>205</v>
      </c>
      <c r="D105" s="135" t="s">
        <v>417</v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137"/>
      <c r="O105" s="7"/>
    </row>
    <row r="106" spans="1:64" ht="12.75">
      <c r="A106" s="5" t="s">
        <v>86</v>
      </c>
      <c r="B106" s="16" t="s">
        <v>207</v>
      </c>
      <c r="C106" s="16" t="s">
        <v>293</v>
      </c>
      <c r="D106" s="127" t="s">
        <v>418</v>
      </c>
      <c r="E106" s="128"/>
      <c r="F106" s="128"/>
      <c r="G106" s="128"/>
      <c r="H106" s="128"/>
      <c r="I106" s="16" t="s">
        <v>465</v>
      </c>
      <c r="J106" s="26">
        <v>1</v>
      </c>
      <c r="K106" s="26">
        <v>0</v>
      </c>
      <c r="L106" s="26">
        <f>J106*AO106</f>
        <v>0</v>
      </c>
      <c r="M106" s="26">
        <f>J106*AP106</f>
        <v>0</v>
      </c>
      <c r="N106" s="46">
        <f>J106*K106</f>
        <v>0</v>
      </c>
      <c r="O106" s="7"/>
      <c r="Z106" s="36">
        <f>IF(AQ106="5",BJ106,0)</f>
        <v>0</v>
      </c>
      <c r="AB106" s="36">
        <f>IF(AQ106="1",BH106,0)</f>
        <v>0</v>
      </c>
      <c r="AC106" s="36">
        <f>IF(AQ106="1",BI106,0)</f>
        <v>0</v>
      </c>
      <c r="AD106" s="36">
        <f>IF(AQ106="7",BH106,0)</f>
        <v>0</v>
      </c>
      <c r="AE106" s="36">
        <f>IF(AQ106="7",BI106,0)</f>
        <v>0</v>
      </c>
      <c r="AF106" s="36">
        <f>IF(AQ106="2",BH106,0)</f>
        <v>0</v>
      </c>
      <c r="AG106" s="36">
        <f>IF(AQ106="2",BI106,0)</f>
        <v>0</v>
      </c>
      <c r="AH106" s="36">
        <f>IF(AQ106="0",BJ106,0)</f>
        <v>0</v>
      </c>
      <c r="AI106" s="35" t="s">
        <v>207</v>
      </c>
      <c r="AJ106" s="26">
        <f>IF(AN106=0,N106,0)</f>
        <v>0</v>
      </c>
      <c r="AK106" s="26">
        <f>IF(AN106=15,N106,0)</f>
        <v>0</v>
      </c>
      <c r="AL106" s="26">
        <f>IF(AN106=21,N106,0)</f>
        <v>0</v>
      </c>
      <c r="AN106" s="36">
        <v>21</v>
      </c>
      <c r="AO106" s="36">
        <f>K106*0</f>
        <v>0</v>
      </c>
      <c r="AP106" s="36">
        <f>K106*(1-0)</f>
        <v>0</v>
      </c>
      <c r="AQ106" s="37" t="s">
        <v>7</v>
      </c>
      <c r="AV106" s="36">
        <f>AW106+AX106</f>
        <v>0</v>
      </c>
      <c r="AW106" s="36">
        <f>J106*AO106</f>
        <v>0</v>
      </c>
      <c r="AX106" s="36">
        <f>J106*AP106</f>
        <v>0</v>
      </c>
      <c r="AY106" s="39" t="s">
        <v>496</v>
      </c>
      <c r="AZ106" s="39" t="s">
        <v>509</v>
      </c>
      <c r="BA106" s="35" t="s">
        <v>520</v>
      </c>
      <c r="BC106" s="36">
        <f>AW106+AX106</f>
        <v>0</v>
      </c>
      <c r="BD106" s="36">
        <f>K106/(100-BE106)*100</f>
        <v>0</v>
      </c>
      <c r="BE106" s="36">
        <v>0</v>
      </c>
      <c r="BF106" s="36">
        <f>106</f>
        <v>106</v>
      </c>
      <c r="BH106" s="26">
        <f>J106*AO106</f>
        <v>0</v>
      </c>
      <c r="BI106" s="26">
        <f>J106*AP106</f>
        <v>0</v>
      </c>
      <c r="BJ106" s="26">
        <f>J106*K106</f>
        <v>0</v>
      </c>
      <c r="BK106" s="26" t="s">
        <v>526</v>
      </c>
      <c r="BL106" s="36">
        <v>21</v>
      </c>
    </row>
    <row r="107" spans="1:15" ht="12.75">
      <c r="A107" s="7"/>
      <c r="C107" s="20" t="s">
        <v>205</v>
      </c>
      <c r="D107" s="135" t="s">
        <v>417</v>
      </c>
      <c r="E107" s="136"/>
      <c r="F107" s="136"/>
      <c r="G107" s="136"/>
      <c r="H107" s="136"/>
      <c r="I107" s="136"/>
      <c r="J107" s="136"/>
      <c r="K107" s="136"/>
      <c r="L107" s="136"/>
      <c r="M107" s="136"/>
      <c r="N107" s="137"/>
      <c r="O107" s="7"/>
    </row>
    <row r="108" spans="1:64" ht="12.75">
      <c r="A108" s="5" t="s">
        <v>87</v>
      </c>
      <c r="B108" s="16" t="s">
        <v>207</v>
      </c>
      <c r="C108" s="16" t="s">
        <v>242</v>
      </c>
      <c r="D108" s="127" t="s">
        <v>365</v>
      </c>
      <c r="E108" s="128"/>
      <c r="F108" s="128"/>
      <c r="G108" s="128"/>
      <c r="H108" s="128"/>
      <c r="I108" s="16" t="s">
        <v>465</v>
      </c>
      <c r="J108" s="26">
        <v>1</v>
      </c>
      <c r="K108" s="26">
        <v>0</v>
      </c>
      <c r="L108" s="26">
        <f>J108*AO108</f>
        <v>0</v>
      </c>
      <c r="M108" s="26">
        <f>J108*AP108</f>
        <v>0</v>
      </c>
      <c r="N108" s="46">
        <f>J108*K108</f>
        <v>0</v>
      </c>
      <c r="O108" s="7"/>
      <c r="Z108" s="36">
        <f>IF(AQ108="5",BJ108,0)</f>
        <v>0</v>
      </c>
      <c r="AB108" s="36">
        <f>IF(AQ108="1",BH108,0)</f>
        <v>0</v>
      </c>
      <c r="AC108" s="36">
        <f>IF(AQ108="1",BI108,0)</f>
        <v>0</v>
      </c>
      <c r="AD108" s="36">
        <f>IF(AQ108="7",BH108,0)</f>
        <v>0</v>
      </c>
      <c r="AE108" s="36">
        <f>IF(AQ108="7",BI108,0)</f>
        <v>0</v>
      </c>
      <c r="AF108" s="36">
        <f>IF(AQ108="2",BH108,0)</f>
        <v>0</v>
      </c>
      <c r="AG108" s="36">
        <f>IF(AQ108="2",BI108,0)</f>
        <v>0</v>
      </c>
      <c r="AH108" s="36">
        <f>IF(AQ108="0",BJ108,0)</f>
        <v>0</v>
      </c>
      <c r="AI108" s="35" t="s">
        <v>207</v>
      </c>
      <c r="AJ108" s="26">
        <f>IF(AN108=0,N108,0)</f>
        <v>0</v>
      </c>
      <c r="AK108" s="26">
        <f>IF(AN108=15,N108,0)</f>
        <v>0</v>
      </c>
      <c r="AL108" s="26">
        <f>IF(AN108=21,N108,0)</f>
        <v>0</v>
      </c>
      <c r="AN108" s="36">
        <v>21</v>
      </c>
      <c r="AO108" s="36">
        <f>K108*0</f>
        <v>0</v>
      </c>
      <c r="AP108" s="36">
        <f>K108*(1-0)</f>
        <v>0</v>
      </c>
      <c r="AQ108" s="37" t="s">
        <v>7</v>
      </c>
      <c r="AV108" s="36">
        <f>AW108+AX108</f>
        <v>0</v>
      </c>
      <c r="AW108" s="36">
        <f>J108*AO108</f>
        <v>0</v>
      </c>
      <c r="AX108" s="36">
        <f>J108*AP108</f>
        <v>0</v>
      </c>
      <c r="AY108" s="39" t="s">
        <v>496</v>
      </c>
      <c r="AZ108" s="39" t="s">
        <v>509</v>
      </c>
      <c r="BA108" s="35" t="s">
        <v>520</v>
      </c>
      <c r="BC108" s="36">
        <f>AW108+AX108</f>
        <v>0</v>
      </c>
      <c r="BD108" s="36">
        <f>K108/(100-BE108)*100</f>
        <v>0</v>
      </c>
      <c r="BE108" s="36">
        <v>0</v>
      </c>
      <c r="BF108" s="36">
        <f>108</f>
        <v>108</v>
      </c>
      <c r="BH108" s="26">
        <f>J108*AO108</f>
        <v>0</v>
      </c>
      <c r="BI108" s="26">
        <f>J108*AP108</f>
        <v>0</v>
      </c>
      <c r="BJ108" s="26">
        <f>J108*K108</f>
        <v>0</v>
      </c>
      <c r="BK108" s="26" t="s">
        <v>526</v>
      </c>
      <c r="BL108" s="36">
        <v>21</v>
      </c>
    </row>
    <row r="109" spans="1:47" ht="12.75">
      <c r="A109" s="4"/>
      <c r="B109" s="15" t="s">
        <v>207</v>
      </c>
      <c r="C109" s="15" t="s">
        <v>294</v>
      </c>
      <c r="D109" s="129" t="s">
        <v>419</v>
      </c>
      <c r="E109" s="130"/>
      <c r="F109" s="130"/>
      <c r="G109" s="130"/>
      <c r="H109" s="130"/>
      <c r="I109" s="23" t="s">
        <v>6</v>
      </c>
      <c r="J109" s="23" t="s">
        <v>6</v>
      </c>
      <c r="K109" s="23" t="s">
        <v>6</v>
      </c>
      <c r="L109" s="42">
        <f>SUM(L110:L117)</f>
        <v>0</v>
      </c>
      <c r="M109" s="42">
        <f>SUM(M110:M117)</f>
        <v>0</v>
      </c>
      <c r="N109" s="45">
        <f>SUM(N110:N117)</f>
        <v>0</v>
      </c>
      <c r="O109" s="7"/>
      <c r="AI109" s="35" t="s">
        <v>207</v>
      </c>
      <c r="AS109" s="42">
        <f>SUM(AJ110:AJ117)</f>
        <v>0</v>
      </c>
      <c r="AT109" s="42">
        <f>SUM(AK110:AK117)</f>
        <v>0</v>
      </c>
      <c r="AU109" s="42">
        <f>SUM(AL110:AL117)</f>
        <v>0</v>
      </c>
    </row>
    <row r="110" spans="1:64" ht="12.75">
      <c r="A110" s="5" t="s">
        <v>88</v>
      </c>
      <c r="B110" s="16" t="s">
        <v>207</v>
      </c>
      <c r="C110" s="16" t="s">
        <v>295</v>
      </c>
      <c r="D110" s="127" t="s">
        <v>420</v>
      </c>
      <c r="E110" s="128"/>
      <c r="F110" s="128"/>
      <c r="G110" s="128"/>
      <c r="H110" s="128"/>
      <c r="I110" s="16" t="s">
        <v>462</v>
      </c>
      <c r="J110" s="26">
        <v>8</v>
      </c>
      <c r="K110" s="26">
        <v>0</v>
      </c>
      <c r="L110" s="26">
        <f aca="true" t="shared" si="132" ref="L110:L117">J110*AO110</f>
        <v>0</v>
      </c>
      <c r="M110" s="26">
        <f aca="true" t="shared" si="133" ref="M110:M117">J110*AP110</f>
        <v>0</v>
      </c>
      <c r="N110" s="46">
        <f aca="true" t="shared" si="134" ref="N110:N117">J110*K110</f>
        <v>0</v>
      </c>
      <c r="O110" s="7"/>
      <c r="Z110" s="36">
        <f aca="true" t="shared" si="135" ref="Z110:Z117">IF(AQ110="5",BJ110,0)</f>
        <v>0</v>
      </c>
      <c r="AB110" s="36">
        <f aca="true" t="shared" si="136" ref="AB110:AB117">IF(AQ110="1",BH110,0)</f>
        <v>0</v>
      </c>
      <c r="AC110" s="36">
        <f aca="true" t="shared" si="137" ref="AC110:AC117">IF(AQ110="1",BI110,0)</f>
        <v>0</v>
      </c>
      <c r="AD110" s="36">
        <f aca="true" t="shared" si="138" ref="AD110:AD117">IF(AQ110="7",BH110,0)</f>
        <v>0</v>
      </c>
      <c r="AE110" s="36">
        <f aca="true" t="shared" si="139" ref="AE110:AE117">IF(AQ110="7",BI110,0)</f>
        <v>0</v>
      </c>
      <c r="AF110" s="36">
        <f aca="true" t="shared" si="140" ref="AF110:AF117">IF(AQ110="2",BH110,0)</f>
        <v>0</v>
      </c>
      <c r="AG110" s="36">
        <f aca="true" t="shared" si="141" ref="AG110:AG117">IF(AQ110="2",BI110,0)</f>
        <v>0</v>
      </c>
      <c r="AH110" s="36">
        <f aca="true" t="shared" si="142" ref="AH110:AH117">IF(AQ110="0",BJ110,0)</f>
        <v>0</v>
      </c>
      <c r="AI110" s="35" t="s">
        <v>207</v>
      </c>
      <c r="AJ110" s="26">
        <f aca="true" t="shared" si="143" ref="AJ110:AJ117">IF(AN110=0,N110,0)</f>
        <v>0</v>
      </c>
      <c r="AK110" s="26">
        <f aca="true" t="shared" si="144" ref="AK110:AK117">IF(AN110=15,N110,0)</f>
        <v>0</v>
      </c>
      <c r="AL110" s="26">
        <f aca="true" t="shared" si="145" ref="AL110:AL117">IF(AN110=21,N110,0)</f>
        <v>0</v>
      </c>
      <c r="AN110" s="36">
        <v>21</v>
      </c>
      <c r="AO110" s="36">
        <f>K110*0</f>
        <v>0</v>
      </c>
      <c r="AP110" s="36">
        <f>K110*(1-0)</f>
        <v>0</v>
      </c>
      <c r="AQ110" s="37" t="s">
        <v>13</v>
      </c>
      <c r="AV110" s="36">
        <f aca="true" t="shared" si="146" ref="AV110:AV117">AW110+AX110</f>
        <v>0</v>
      </c>
      <c r="AW110" s="36">
        <f aca="true" t="shared" si="147" ref="AW110:AW117">J110*AO110</f>
        <v>0</v>
      </c>
      <c r="AX110" s="36">
        <f aca="true" t="shared" si="148" ref="AX110:AX117">J110*AP110</f>
        <v>0</v>
      </c>
      <c r="AY110" s="39" t="s">
        <v>497</v>
      </c>
      <c r="AZ110" s="39" t="s">
        <v>510</v>
      </c>
      <c r="BA110" s="35" t="s">
        <v>520</v>
      </c>
      <c r="BC110" s="36">
        <f aca="true" t="shared" si="149" ref="BC110:BC117">AW110+AX110</f>
        <v>0</v>
      </c>
      <c r="BD110" s="36">
        <f aca="true" t="shared" si="150" ref="BD110:BD117">K110/(100-BE110)*100</f>
        <v>0</v>
      </c>
      <c r="BE110" s="36">
        <v>0</v>
      </c>
      <c r="BF110" s="36">
        <f>110</f>
        <v>110</v>
      </c>
      <c r="BH110" s="26">
        <f aca="true" t="shared" si="151" ref="BH110:BH117">J110*AO110</f>
        <v>0</v>
      </c>
      <c r="BI110" s="26">
        <f aca="true" t="shared" si="152" ref="BI110:BI117">J110*AP110</f>
        <v>0</v>
      </c>
      <c r="BJ110" s="26">
        <f aca="true" t="shared" si="153" ref="BJ110:BJ117">J110*K110</f>
        <v>0</v>
      </c>
      <c r="BK110" s="26" t="s">
        <v>526</v>
      </c>
      <c r="BL110" s="36">
        <v>766</v>
      </c>
    </row>
    <row r="111" spans="1:64" ht="12.75">
      <c r="A111" s="5" t="s">
        <v>89</v>
      </c>
      <c r="B111" s="16" t="s">
        <v>207</v>
      </c>
      <c r="C111" s="16" t="s">
        <v>296</v>
      </c>
      <c r="D111" s="127" t="s">
        <v>421</v>
      </c>
      <c r="E111" s="128"/>
      <c r="F111" s="128"/>
      <c r="G111" s="128"/>
      <c r="H111" s="128"/>
      <c r="I111" s="16" t="s">
        <v>462</v>
      </c>
      <c r="J111" s="26">
        <v>8</v>
      </c>
      <c r="K111" s="26">
        <v>0</v>
      </c>
      <c r="L111" s="26">
        <f t="shared" si="132"/>
        <v>0</v>
      </c>
      <c r="M111" s="26">
        <f t="shared" si="133"/>
        <v>0</v>
      </c>
      <c r="N111" s="46">
        <f t="shared" si="134"/>
        <v>0</v>
      </c>
      <c r="O111" s="7"/>
      <c r="Z111" s="36">
        <f t="shared" si="135"/>
        <v>0</v>
      </c>
      <c r="AB111" s="36">
        <f t="shared" si="136"/>
        <v>0</v>
      </c>
      <c r="AC111" s="36">
        <f t="shared" si="137"/>
        <v>0</v>
      </c>
      <c r="AD111" s="36">
        <f t="shared" si="138"/>
        <v>0</v>
      </c>
      <c r="AE111" s="36">
        <f t="shared" si="139"/>
        <v>0</v>
      </c>
      <c r="AF111" s="36">
        <f t="shared" si="140"/>
        <v>0</v>
      </c>
      <c r="AG111" s="36">
        <f t="shared" si="141"/>
        <v>0</v>
      </c>
      <c r="AH111" s="36">
        <f t="shared" si="142"/>
        <v>0</v>
      </c>
      <c r="AI111" s="35" t="s">
        <v>207</v>
      </c>
      <c r="AJ111" s="26">
        <f t="shared" si="143"/>
        <v>0</v>
      </c>
      <c r="AK111" s="26">
        <f t="shared" si="144"/>
        <v>0</v>
      </c>
      <c r="AL111" s="26">
        <f t="shared" si="145"/>
        <v>0</v>
      </c>
      <c r="AN111" s="36">
        <v>21</v>
      </c>
      <c r="AO111" s="36">
        <f>K111*0</f>
        <v>0</v>
      </c>
      <c r="AP111" s="36">
        <f>K111*(1-0)</f>
        <v>0</v>
      </c>
      <c r="AQ111" s="37" t="s">
        <v>13</v>
      </c>
      <c r="AV111" s="36">
        <f t="shared" si="146"/>
        <v>0</v>
      </c>
      <c r="AW111" s="36">
        <f t="shared" si="147"/>
        <v>0</v>
      </c>
      <c r="AX111" s="36">
        <f t="shared" si="148"/>
        <v>0</v>
      </c>
      <c r="AY111" s="39" t="s">
        <v>497</v>
      </c>
      <c r="AZ111" s="39" t="s">
        <v>510</v>
      </c>
      <c r="BA111" s="35" t="s">
        <v>520</v>
      </c>
      <c r="BC111" s="36">
        <f t="shared" si="149"/>
        <v>0</v>
      </c>
      <c r="BD111" s="36">
        <f t="shared" si="150"/>
        <v>0</v>
      </c>
      <c r="BE111" s="36">
        <v>0</v>
      </c>
      <c r="BF111" s="36">
        <f>111</f>
        <v>111</v>
      </c>
      <c r="BH111" s="26">
        <f t="shared" si="151"/>
        <v>0</v>
      </c>
      <c r="BI111" s="26">
        <f t="shared" si="152"/>
        <v>0</v>
      </c>
      <c r="BJ111" s="26">
        <f t="shared" si="153"/>
        <v>0</v>
      </c>
      <c r="BK111" s="26" t="s">
        <v>526</v>
      </c>
      <c r="BL111" s="36">
        <v>766</v>
      </c>
    </row>
    <row r="112" spans="1:64" ht="12.75">
      <c r="A112" s="5" t="s">
        <v>90</v>
      </c>
      <c r="B112" s="16" t="s">
        <v>207</v>
      </c>
      <c r="C112" s="16" t="s">
        <v>297</v>
      </c>
      <c r="D112" s="127" t="s">
        <v>422</v>
      </c>
      <c r="E112" s="128"/>
      <c r="F112" s="128"/>
      <c r="G112" s="128"/>
      <c r="H112" s="128"/>
      <c r="I112" s="16" t="s">
        <v>462</v>
      </c>
      <c r="J112" s="26">
        <v>8</v>
      </c>
      <c r="K112" s="26">
        <v>0</v>
      </c>
      <c r="L112" s="26">
        <f t="shared" si="132"/>
        <v>0</v>
      </c>
      <c r="M112" s="26">
        <f t="shared" si="133"/>
        <v>0</v>
      </c>
      <c r="N112" s="46">
        <f t="shared" si="134"/>
        <v>0</v>
      </c>
      <c r="O112" s="7"/>
      <c r="Z112" s="36">
        <f t="shared" si="135"/>
        <v>0</v>
      </c>
      <c r="AB112" s="36">
        <f t="shared" si="136"/>
        <v>0</v>
      </c>
      <c r="AC112" s="36">
        <f t="shared" si="137"/>
        <v>0</v>
      </c>
      <c r="AD112" s="36">
        <f t="shared" si="138"/>
        <v>0</v>
      </c>
      <c r="AE112" s="36">
        <f t="shared" si="139"/>
        <v>0</v>
      </c>
      <c r="AF112" s="36">
        <f t="shared" si="140"/>
        <v>0</v>
      </c>
      <c r="AG112" s="36">
        <f t="shared" si="141"/>
        <v>0</v>
      </c>
      <c r="AH112" s="36">
        <f t="shared" si="142"/>
        <v>0</v>
      </c>
      <c r="AI112" s="35" t="s">
        <v>207</v>
      </c>
      <c r="AJ112" s="26">
        <f t="shared" si="143"/>
        <v>0</v>
      </c>
      <c r="AK112" s="26">
        <f t="shared" si="144"/>
        <v>0</v>
      </c>
      <c r="AL112" s="26">
        <f t="shared" si="145"/>
        <v>0</v>
      </c>
      <c r="AN112" s="36">
        <v>21</v>
      </c>
      <c r="AO112" s="36">
        <f>K112*0</f>
        <v>0</v>
      </c>
      <c r="AP112" s="36">
        <f>K112*(1-0)</f>
        <v>0</v>
      </c>
      <c r="AQ112" s="37" t="s">
        <v>13</v>
      </c>
      <c r="AV112" s="36">
        <f t="shared" si="146"/>
        <v>0</v>
      </c>
      <c r="AW112" s="36">
        <f t="shared" si="147"/>
        <v>0</v>
      </c>
      <c r="AX112" s="36">
        <f t="shared" si="148"/>
        <v>0</v>
      </c>
      <c r="AY112" s="39" t="s">
        <v>497</v>
      </c>
      <c r="AZ112" s="39" t="s">
        <v>510</v>
      </c>
      <c r="BA112" s="35" t="s">
        <v>520</v>
      </c>
      <c r="BC112" s="36">
        <f t="shared" si="149"/>
        <v>0</v>
      </c>
      <c r="BD112" s="36">
        <f t="shared" si="150"/>
        <v>0</v>
      </c>
      <c r="BE112" s="36">
        <v>0</v>
      </c>
      <c r="BF112" s="36">
        <f>112</f>
        <v>112</v>
      </c>
      <c r="BH112" s="26">
        <f t="shared" si="151"/>
        <v>0</v>
      </c>
      <c r="BI112" s="26">
        <f t="shared" si="152"/>
        <v>0</v>
      </c>
      <c r="BJ112" s="26">
        <f t="shared" si="153"/>
        <v>0</v>
      </c>
      <c r="BK112" s="26" t="s">
        <v>526</v>
      </c>
      <c r="BL112" s="36">
        <v>766</v>
      </c>
    </row>
    <row r="113" spans="1:64" ht="12.75">
      <c r="A113" s="6" t="s">
        <v>91</v>
      </c>
      <c r="B113" s="17" t="s">
        <v>207</v>
      </c>
      <c r="C113" s="17" t="s">
        <v>298</v>
      </c>
      <c r="D113" s="133" t="s">
        <v>423</v>
      </c>
      <c r="E113" s="134"/>
      <c r="F113" s="134"/>
      <c r="G113" s="134"/>
      <c r="H113" s="134"/>
      <c r="I113" s="17" t="s">
        <v>462</v>
      </c>
      <c r="J113" s="27">
        <v>6</v>
      </c>
      <c r="K113" s="27">
        <v>0</v>
      </c>
      <c r="L113" s="27">
        <f t="shared" si="132"/>
        <v>0</v>
      </c>
      <c r="M113" s="27">
        <f t="shared" si="133"/>
        <v>0</v>
      </c>
      <c r="N113" s="47">
        <f t="shared" si="134"/>
        <v>0</v>
      </c>
      <c r="O113" s="7"/>
      <c r="Z113" s="36">
        <f t="shared" si="135"/>
        <v>0</v>
      </c>
      <c r="AB113" s="36">
        <f t="shared" si="136"/>
        <v>0</v>
      </c>
      <c r="AC113" s="36">
        <f t="shared" si="137"/>
        <v>0</v>
      </c>
      <c r="AD113" s="36">
        <f t="shared" si="138"/>
        <v>0</v>
      </c>
      <c r="AE113" s="36">
        <f t="shared" si="139"/>
        <v>0</v>
      </c>
      <c r="AF113" s="36">
        <f t="shared" si="140"/>
        <v>0</v>
      </c>
      <c r="AG113" s="36">
        <f t="shared" si="141"/>
        <v>0</v>
      </c>
      <c r="AH113" s="36">
        <f t="shared" si="142"/>
        <v>0</v>
      </c>
      <c r="AI113" s="35" t="s">
        <v>207</v>
      </c>
      <c r="AJ113" s="27">
        <f t="shared" si="143"/>
        <v>0</v>
      </c>
      <c r="AK113" s="27">
        <f t="shared" si="144"/>
        <v>0</v>
      </c>
      <c r="AL113" s="27">
        <f t="shared" si="145"/>
        <v>0</v>
      </c>
      <c r="AN113" s="36">
        <v>21</v>
      </c>
      <c r="AO113" s="36">
        <f>K113*1</f>
        <v>0</v>
      </c>
      <c r="AP113" s="36">
        <f>K113*(1-1)</f>
        <v>0</v>
      </c>
      <c r="AQ113" s="38" t="s">
        <v>13</v>
      </c>
      <c r="AV113" s="36">
        <f t="shared" si="146"/>
        <v>0</v>
      </c>
      <c r="AW113" s="36">
        <f t="shared" si="147"/>
        <v>0</v>
      </c>
      <c r="AX113" s="36">
        <f t="shared" si="148"/>
        <v>0</v>
      </c>
      <c r="AY113" s="39" t="s">
        <v>497</v>
      </c>
      <c r="AZ113" s="39" t="s">
        <v>510</v>
      </c>
      <c r="BA113" s="35" t="s">
        <v>520</v>
      </c>
      <c r="BC113" s="36">
        <f t="shared" si="149"/>
        <v>0</v>
      </c>
      <c r="BD113" s="36">
        <f t="shared" si="150"/>
        <v>0</v>
      </c>
      <c r="BE113" s="36">
        <v>0</v>
      </c>
      <c r="BF113" s="36">
        <f>113</f>
        <v>113</v>
      </c>
      <c r="BH113" s="27">
        <f t="shared" si="151"/>
        <v>0</v>
      </c>
      <c r="BI113" s="27">
        <f t="shared" si="152"/>
        <v>0</v>
      </c>
      <c r="BJ113" s="27">
        <f t="shared" si="153"/>
        <v>0</v>
      </c>
      <c r="BK113" s="27" t="s">
        <v>527</v>
      </c>
      <c r="BL113" s="36">
        <v>766</v>
      </c>
    </row>
    <row r="114" spans="1:64" ht="12.75">
      <c r="A114" s="6" t="s">
        <v>92</v>
      </c>
      <c r="B114" s="17" t="s">
        <v>207</v>
      </c>
      <c r="C114" s="17" t="s">
        <v>299</v>
      </c>
      <c r="D114" s="133" t="s">
        <v>424</v>
      </c>
      <c r="E114" s="134"/>
      <c r="F114" s="134"/>
      <c r="G114" s="134"/>
      <c r="H114" s="134"/>
      <c r="I114" s="17" t="s">
        <v>462</v>
      </c>
      <c r="J114" s="27">
        <v>2</v>
      </c>
      <c r="K114" s="27">
        <v>0</v>
      </c>
      <c r="L114" s="27">
        <f t="shared" si="132"/>
        <v>0</v>
      </c>
      <c r="M114" s="27">
        <f t="shared" si="133"/>
        <v>0</v>
      </c>
      <c r="N114" s="47">
        <f t="shared" si="134"/>
        <v>0</v>
      </c>
      <c r="O114" s="7"/>
      <c r="Z114" s="36">
        <f t="shared" si="135"/>
        <v>0</v>
      </c>
      <c r="AB114" s="36">
        <f t="shared" si="136"/>
        <v>0</v>
      </c>
      <c r="AC114" s="36">
        <f t="shared" si="137"/>
        <v>0</v>
      </c>
      <c r="AD114" s="36">
        <f t="shared" si="138"/>
        <v>0</v>
      </c>
      <c r="AE114" s="36">
        <f t="shared" si="139"/>
        <v>0</v>
      </c>
      <c r="AF114" s="36">
        <f t="shared" si="140"/>
        <v>0</v>
      </c>
      <c r="AG114" s="36">
        <f t="shared" si="141"/>
        <v>0</v>
      </c>
      <c r="AH114" s="36">
        <f t="shared" si="142"/>
        <v>0</v>
      </c>
      <c r="AI114" s="35" t="s">
        <v>207</v>
      </c>
      <c r="AJ114" s="27">
        <f t="shared" si="143"/>
        <v>0</v>
      </c>
      <c r="AK114" s="27">
        <f t="shared" si="144"/>
        <v>0</v>
      </c>
      <c r="AL114" s="27">
        <f t="shared" si="145"/>
        <v>0</v>
      </c>
      <c r="AN114" s="36">
        <v>21</v>
      </c>
      <c r="AO114" s="36">
        <f>K114*1</f>
        <v>0</v>
      </c>
      <c r="AP114" s="36">
        <f>K114*(1-1)</f>
        <v>0</v>
      </c>
      <c r="AQ114" s="38" t="s">
        <v>13</v>
      </c>
      <c r="AV114" s="36">
        <f t="shared" si="146"/>
        <v>0</v>
      </c>
      <c r="AW114" s="36">
        <f t="shared" si="147"/>
        <v>0</v>
      </c>
      <c r="AX114" s="36">
        <f t="shared" si="148"/>
        <v>0</v>
      </c>
      <c r="AY114" s="39" t="s">
        <v>497</v>
      </c>
      <c r="AZ114" s="39" t="s">
        <v>510</v>
      </c>
      <c r="BA114" s="35" t="s">
        <v>520</v>
      </c>
      <c r="BC114" s="36">
        <f t="shared" si="149"/>
        <v>0</v>
      </c>
      <c r="BD114" s="36">
        <f t="shared" si="150"/>
        <v>0</v>
      </c>
      <c r="BE114" s="36">
        <v>0</v>
      </c>
      <c r="BF114" s="36">
        <f>114</f>
        <v>114</v>
      </c>
      <c r="BH114" s="27">
        <f t="shared" si="151"/>
        <v>0</v>
      </c>
      <c r="BI114" s="27">
        <f t="shared" si="152"/>
        <v>0</v>
      </c>
      <c r="BJ114" s="27">
        <f t="shared" si="153"/>
        <v>0</v>
      </c>
      <c r="BK114" s="27" t="s">
        <v>527</v>
      </c>
      <c r="BL114" s="36">
        <v>766</v>
      </c>
    </row>
    <row r="115" spans="1:64" ht="12.75">
      <c r="A115" s="6" t="s">
        <v>93</v>
      </c>
      <c r="B115" s="17" t="s">
        <v>207</v>
      </c>
      <c r="C115" s="17" t="s">
        <v>300</v>
      </c>
      <c r="D115" s="133" t="s">
        <v>425</v>
      </c>
      <c r="E115" s="134"/>
      <c r="F115" s="134"/>
      <c r="G115" s="134"/>
      <c r="H115" s="134"/>
      <c r="I115" s="17" t="s">
        <v>462</v>
      </c>
      <c r="J115" s="27">
        <v>8</v>
      </c>
      <c r="K115" s="27">
        <v>0</v>
      </c>
      <c r="L115" s="27">
        <f t="shared" si="132"/>
        <v>0</v>
      </c>
      <c r="M115" s="27">
        <f t="shared" si="133"/>
        <v>0</v>
      </c>
      <c r="N115" s="47">
        <f t="shared" si="134"/>
        <v>0</v>
      </c>
      <c r="O115" s="7"/>
      <c r="Z115" s="36">
        <f t="shared" si="135"/>
        <v>0</v>
      </c>
      <c r="AB115" s="36">
        <f t="shared" si="136"/>
        <v>0</v>
      </c>
      <c r="AC115" s="36">
        <f t="shared" si="137"/>
        <v>0</v>
      </c>
      <c r="AD115" s="36">
        <f t="shared" si="138"/>
        <v>0</v>
      </c>
      <c r="AE115" s="36">
        <f t="shared" si="139"/>
        <v>0</v>
      </c>
      <c r="AF115" s="36">
        <f t="shared" si="140"/>
        <v>0</v>
      </c>
      <c r="AG115" s="36">
        <f t="shared" si="141"/>
        <v>0</v>
      </c>
      <c r="AH115" s="36">
        <f t="shared" si="142"/>
        <v>0</v>
      </c>
      <c r="AI115" s="35" t="s">
        <v>207</v>
      </c>
      <c r="AJ115" s="27">
        <f t="shared" si="143"/>
        <v>0</v>
      </c>
      <c r="AK115" s="27">
        <f t="shared" si="144"/>
        <v>0</v>
      </c>
      <c r="AL115" s="27">
        <f t="shared" si="145"/>
        <v>0</v>
      </c>
      <c r="AN115" s="36">
        <v>21</v>
      </c>
      <c r="AO115" s="36">
        <f>K115*1</f>
        <v>0</v>
      </c>
      <c r="AP115" s="36">
        <f>K115*(1-1)</f>
        <v>0</v>
      </c>
      <c r="AQ115" s="38" t="s">
        <v>13</v>
      </c>
      <c r="AV115" s="36">
        <f t="shared" si="146"/>
        <v>0</v>
      </c>
      <c r="AW115" s="36">
        <f t="shared" si="147"/>
        <v>0</v>
      </c>
      <c r="AX115" s="36">
        <f t="shared" si="148"/>
        <v>0</v>
      </c>
      <c r="AY115" s="39" t="s">
        <v>497</v>
      </c>
      <c r="AZ115" s="39" t="s">
        <v>510</v>
      </c>
      <c r="BA115" s="35" t="s">
        <v>520</v>
      </c>
      <c r="BC115" s="36">
        <f t="shared" si="149"/>
        <v>0</v>
      </c>
      <c r="BD115" s="36">
        <f t="shared" si="150"/>
        <v>0</v>
      </c>
      <c r="BE115" s="36">
        <v>0</v>
      </c>
      <c r="BF115" s="36">
        <f>115</f>
        <v>115</v>
      </c>
      <c r="BH115" s="27">
        <f t="shared" si="151"/>
        <v>0</v>
      </c>
      <c r="BI115" s="27">
        <f t="shared" si="152"/>
        <v>0</v>
      </c>
      <c r="BJ115" s="27">
        <f t="shared" si="153"/>
        <v>0</v>
      </c>
      <c r="BK115" s="27" t="s">
        <v>527</v>
      </c>
      <c r="BL115" s="36">
        <v>766</v>
      </c>
    </row>
    <row r="116" spans="1:64" ht="12.75">
      <c r="A116" s="5" t="s">
        <v>94</v>
      </c>
      <c r="B116" s="16" t="s">
        <v>207</v>
      </c>
      <c r="C116" s="16" t="s">
        <v>301</v>
      </c>
      <c r="D116" s="127" t="s">
        <v>426</v>
      </c>
      <c r="E116" s="128"/>
      <c r="F116" s="128"/>
      <c r="G116" s="128"/>
      <c r="H116" s="128"/>
      <c r="I116" s="16" t="s">
        <v>462</v>
      </c>
      <c r="J116" s="26">
        <v>2</v>
      </c>
      <c r="K116" s="26">
        <v>0</v>
      </c>
      <c r="L116" s="26">
        <f t="shared" si="132"/>
        <v>0</v>
      </c>
      <c r="M116" s="26">
        <f t="shared" si="133"/>
        <v>0</v>
      </c>
      <c r="N116" s="46">
        <f t="shared" si="134"/>
        <v>0</v>
      </c>
      <c r="O116" s="7"/>
      <c r="Z116" s="36">
        <f t="shared" si="135"/>
        <v>0</v>
      </c>
      <c r="AB116" s="36">
        <f t="shared" si="136"/>
        <v>0</v>
      </c>
      <c r="AC116" s="36">
        <f t="shared" si="137"/>
        <v>0</v>
      </c>
      <c r="AD116" s="36">
        <f t="shared" si="138"/>
        <v>0</v>
      </c>
      <c r="AE116" s="36">
        <f t="shared" si="139"/>
        <v>0</v>
      </c>
      <c r="AF116" s="36">
        <f t="shared" si="140"/>
        <v>0</v>
      </c>
      <c r="AG116" s="36">
        <f t="shared" si="141"/>
        <v>0</v>
      </c>
      <c r="AH116" s="36">
        <f t="shared" si="142"/>
        <v>0</v>
      </c>
      <c r="AI116" s="35" t="s">
        <v>207</v>
      </c>
      <c r="AJ116" s="26">
        <f t="shared" si="143"/>
        <v>0</v>
      </c>
      <c r="AK116" s="26">
        <f t="shared" si="144"/>
        <v>0</v>
      </c>
      <c r="AL116" s="26">
        <f t="shared" si="145"/>
        <v>0</v>
      </c>
      <c r="AN116" s="36">
        <v>21</v>
      </c>
      <c r="AO116" s="36">
        <f>K116*0</f>
        <v>0</v>
      </c>
      <c r="AP116" s="36">
        <f>K116*(1-0)</f>
        <v>0</v>
      </c>
      <c r="AQ116" s="37" t="s">
        <v>13</v>
      </c>
      <c r="AV116" s="36">
        <f t="shared" si="146"/>
        <v>0</v>
      </c>
      <c r="AW116" s="36">
        <f t="shared" si="147"/>
        <v>0</v>
      </c>
      <c r="AX116" s="36">
        <f t="shared" si="148"/>
        <v>0</v>
      </c>
      <c r="AY116" s="39" t="s">
        <v>497</v>
      </c>
      <c r="AZ116" s="39" t="s">
        <v>510</v>
      </c>
      <c r="BA116" s="35" t="s">
        <v>520</v>
      </c>
      <c r="BC116" s="36">
        <f t="shared" si="149"/>
        <v>0</v>
      </c>
      <c r="BD116" s="36">
        <f t="shared" si="150"/>
        <v>0</v>
      </c>
      <c r="BE116" s="36">
        <v>0</v>
      </c>
      <c r="BF116" s="36">
        <f>116</f>
        <v>116</v>
      </c>
      <c r="BH116" s="26">
        <f t="shared" si="151"/>
        <v>0</v>
      </c>
      <c r="BI116" s="26">
        <f t="shared" si="152"/>
        <v>0</v>
      </c>
      <c r="BJ116" s="26">
        <f t="shared" si="153"/>
        <v>0</v>
      </c>
      <c r="BK116" s="26" t="s">
        <v>526</v>
      </c>
      <c r="BL116" s="36">
        <v>766</v>
      </c>
    </row>
    <row r="117" spans="1:64" ht="12.75">
      <c r="A117" s="5" t="s">
        <v>95</v>
      </c>
      <c r="B117" s="16" t="s">
        <v>207</v>
      </c>
      <c r="C117" s="16" t="s">
        <v>302</v>
      </c>
      <c r="D117" s="127" t="s">
        <v>427</v>
      </c>
      <c r="E117" s="128"/>
      <c r="F117" s="128"/>
      <c r="G117" s="128"/>
      <c r="H117" s="128"/>
      <c r="I117" s="16" t="s">
        <v>463</v>
      </c>
      <c r="J117" s="26">
        <v>0.2</v>
      </c>
      <c r="K117" s="26">
        <v>0</v>
      </c>
      <c r="L117" s="26">
        <f t="shared" si="132"/>
        <v>0</v>
      </c>
      <c r="M117" s="26">
        <f t="shared" si="133"/>
        <v>0</v>
      </c>
      <c r="N117" s="46">
        <f t="shared" si="134"/>
        <v>0</v>
      </c>
      <c r="O117" s="7"/>
      <c r="Z117" s="36">
        <f t="shared" si="135"/>
        <v>0</v>
      </c>
      <c r="AB117" s="36">
        <f t="shared" si="136"/>
        <v>0</v>
      </c>
      <c r="AC117" s="36">
        <f t="shared" si="137"/>
        <v>0</v>
      </c>
      <c r="AD117" s="36">
        <f t="shared" si="138"/>
        <v>0</v>
      </c>
      <c r="AE117" s="36">
        <f t="shared" si="139"/>
        <v>0</v>
      </c>
      <c r="AF117" s="36">
        <f t="shared" si="140"/>
        <v>0</v>
      </c>
      <c r="AG117" s="36">
        <f t="shared" si="141"/>
        <v>0</v>
      </c>
      <c r="AH117" s="36">
        <f t="shared" si="142"/>
        <v>0</v>
      </c>
      <c r="AI117" s="35" t="s">
        <v>207</v>
      </c>
      <c r="AJ117" s="26">
        <f t="shared" si="143"/>
        <v>0</v>
      </c>
      <c r="AK117" s="26">
        <f t="shared" si="144"/>
        <v>0</v>
      </c>
      <c r="AL117" s="26">
        <f t="shared" si="145"/>
        <v>0</v>
      </c>
      <c r="AN117" s="36">
        <v>21</v>
      </c>
      <c r="AO117" s="36">
        <f>K117*0</f>
        <v>0</v>
      </c>
      <c r="AP117" s="36">
        <f>K117*(1-0)</f>
        <v>0</v>
      </c>
      <c r="AQ117" s="37" t="s">
        <v>11</v>
      </c>
      <c r="AV117" s="36">
        <f t="shared" si="146"/>
        <v>0</v>
      </c>
      <c r="AW117" s="36">
        <f t="shared" si="147"/>
        <v>0</v>
      </c>
      <c r="AX117" s="36">
        <f t="shared" si="148"/>
        <v>0</v>
      </c>
      <c r="AY117" s="39" t="s">
        <v>497</v>
      </c>
      <c r="AZ117" s="39" t="s">
        <v>510</v>
      </c>
      <c r="BA117" s="35" t="s">
        <v>520</v>
      </c>
      <c r="BC117" s="36">
        <f t="shared" si="149"/>
        <v>0</v>
      </c>
      <c r="BD117" s="36">
        <f t="shared" si="150"/>
        <v>0</v>
      </c>
      <c r="BE117" s="36">
        <v>0</v>
      </c>
      <c r="BF117" s="36">
        <f>117</f>
        <v>117</v>
      </c>
      <c r="BH117" s="26">
        <f t="shared" si="151"/>
        <v>0</v>
      </c>
      <c r="BI117" s="26">
        <f t="shared" si="152"/>
        <v>0</v>
      </c>
      <c r="BJ117" s="26">
        <f t="shared" si="153"/>
        <v>0</v>
      </c>
      <c r="BK117" s="26" t="s">
        <v>526</v>
      </c>
      <c r="BL117" s="36">
        <v>766</v>
      </c>
    </row>
    <row r="118" spans="1:47" ht="12.75">
      <c r="A118" s="4"/>
      <c r="B118" s="15" t="s">
        <v>207</v>
      </c>
      <c r="C118" s="15" t="s">
        <v>303</v>
      </c>
      <c r="D118" s="129" t="s">
        <v>428</v>
      </c>
      <c r="E118" s="130"/>
      <c r="F118" s="130"/>
      <c r="G118" s="130"/>
      <c r="H118" s="130"/>
      <c r="I118" s="23" t="s">
        <v>6</v>
      </c>
      <c r="J118" s="23" t="s">
        <v>6</v>
      </c>
      <c r="K118" s="23" t="s">
        <v>6</v>
      </c>
      <c r="L118" s="42">
        <f>SUM(L119:L119)</f>
        <v>0</v>
      </c>
      <c r="M118" s="42">
        <f>SUM(M119:M119)</f>
        <v>0</v>
      </c>
      <c r="N118" s="45">
        <f>SUM(N119:N119)</f>
        <v>0</v>
      </c>
      <c r="O118" s="7"/>
      <c r="AI118" s="35" t="s">
        <v>207</v>
      </c>
      <c r="AS118" s="42">
        <f>SUM(AJ119:AJ119)</f>
        <v>0</v>
      </c>
      <c r="AT118" s="42">
        <f>SUM(AK119:AK119)</f>
        <v>0</v>
      </c>
      <c r="AU118" s="42">
        <f>SUM(AL119:AL119)</f>
        <v>0</v>
      </c>
    </row>
    <row r="119" spans="1:64" ht="12.75">
      <c r="A119" s="5" t="s">
        <v>96</v>
      </c>
      <c r="B119" s="16" t="s">
        <v>207</v>
      </c>
      <c r="C119" s="16" t="s">
        <v>304</v>
      </c>
      <c r="D119" s="127" t="s">
        <v>429</v>
      </c>
      <c r="E119" s="128"/>
      <c r="F119" s="128"/>
      <c r="G119" s="128"/>
      <c r="H119" s="128"/>
      <c r="I119" s="16" t="s">
        <v>460</v>
      </c>
      <c r="J119" s="26">
        <v>6.432</v>
      </c>
      <c r="K119" s="26">
        <v>0</v>
      </c>
      <c r="L119" s="26">
        <f>J119*AO119</f>
        <v>0</v>
      </c>
      <c r="M119" s="26">
        <f>J119*AP119</f>
        <v>0</v>
      </c>
      <c r="N119" s="46">
        <f>J119*K119</f>
        <v>0</v>
      </c>
      <c r="O119" s="7"/>
      <c r="Z119" s="36">
        <f>IF(AQ119="5",BJ119,0)</f>
        <v>0</v>
      </c>
      <c r="AB119" s="36">
        <f>IF(AQ119="1",BH119,0)</f>
        <v>0</v>
      </c>
      <c r="AC119" s="36">
        <f>IF(AQ119="1",BI119,0)</f>
        <v>0</v>
      </c>
      <c r="AD119" s="36">
        <f>IF(AQ119="7",BH119,0)</f>
        <v>0</v>
      </c>
      <c r="AE119" s="36">
        <f>IF(AQ119="7",BI119,0)</f>
        <v>0</v>
      </c>
      <c r="AF119" s="36">
        <f>IF(AQ119="2",BH119,0)</f>
        <v>0</v>
      </c>
      <c r="AG119" s="36">
        <f>IF(AQ119="2",BI119,0)</f>
        <v>0</v>
      </c>
      <c r="AH119" s="36">
        <f>IF(AQ119="0",BJ119,0)</f>
        <v>0</v>
      </c>
      <c r="AI119" s="35" t="s">
        <v>207</v>
      </c>
      <c r="AJ119" s="26">
        <f>IF(AN119=0,N119,0)</f>
        <v>0</v>
      </c>
      <c r="AK119" s="26">
        <f>IF(AN119=15,N119,0)</f>
        <v>0</v>
      </c>
      <c r="AL119" s="26">
        <f>IF(AN119=21,N119,0)</f>
        <v>0</v>
      </c>
      <c r="AN119" s="36">
        <v>21</v>
      </c>
      <c r="AO119" s="36">
        <f>K119*0.154914241620891</f>
        <v>0</v>
      </c>
      <c r="AP119" s="36">
        <f>K119*(1-0.154914241620891)</f>
        <v>0</v>
      </c>
      <c r="AQ119" s="37" t="s">
        <v>13</v>
      </c>
      <c r="AV119" s="36">
        <f>AW119+AX119</f>
        <v>0</v>
      </c>
      <c r="AW119" s="36">
        <f>J119*AO119</f>
        <v>0</v>
      </c>
      <c r="AX119" s="36">
        <f>J119*AP119</f>
        <v>0</v>
      </c>
      <c r="AY119" s="39" t="s">
        <v>498</v>
      </c>
      <c r="AZ119" s="39" t="s">
        <v>504</v>
      </c>
      <c r="BA119" s="35" t="s">
        <v>520</v>
      </c>
      <c r="BC119" s="36">
        <f>AW119+AX119</f>
        <v>0</v>
      </c>
      <c r="BD119" s="36">
        <f>K119/(100-BE119)*100</f>
        <v>0</v>
      </c>
      <c r="BE119" s="36">
        <v>0</v>
      </c>
      <c r="BF119" s="36">
        <f>119</f>
        <v>119</v>
      </c>
      <c r="BH119" s="26">
        <f>J119*AO119</f>
        <v>0</v>
      </c>
      <c r="BI119" s="26">
        <f>J119*AP119</f>
        <v>0</v>
      </c>
      <c r="BJ119" s="26">
        <f>J119*K119</f>
        <v>0</v>
      </c>
      <c r="BK119" s="26" t="s">
        <v>526</v>
      </c>
      <c r="BL119" s="36">
        <v>783</v>
      </c>
    </row>
    <row r="120" spans="1:47" ht="12.75">
      <c r="A120" s="4"/>
      <c r="B120" s="15" t="s">
        <v>207</v>
      </c>
      <c r="C120" s="15" t="s">
        <v>305</v>
      </c>
      <c r="D120" s="129" t="s">
        <v>430</v>
      </c>
      <c r="E120" s="130"/>
      <c r="F120" s="130"/>
      <c r="G120" s="130"/>
      <c r="H120" s="130"/>
      <c r="I120" s="23" t="s">
        <v>6</v>
      </c>
      <c r="J120" s="23" t="s">
        <v>6</v>
      </c>
      <c r="K120" s="23" t="s">
        <v>6</v>
      </c>
      <c r="L120" s="42">
        <f>SUM(L121:L123)</f>
        <v>0</v>
      </c>
      <c r="M120" s="42">
        <f>SUM(M121:M123)</f>
        <v>0</v>
      </c>
      <c r="N120" s="45">
        <f>SUM(N121:N123)</f>
        <v>0</v>
      </c>
      <c r="O120" s="7"/>
      <c r="AI120" s="35" t="s">
        <v>207</v>
      </c>
      <c r="AS120" s="42">
        <f>SUM(AJ121:AJ123)</f>
        <v>0</v>
      </c>
      <c r="AT120" s="42">
        <f>SUM(AK121:AK123)</f>
        <v>0</v>
      </c>
      <c r="AU120" s="42">
        <f>SUM(AL121:AL123)</f>
        <v>0</v>
      </c>
    </row>
    <row r="121" spans="1:64" ht="12.75">
      <c r="A121" s="5" t="s">
        <v>97</v>
      </c>
      <c r="B121" s="16" t="s">
        <v>207</v>
      </c>
      <c r="C121" s="16" t="s">
        <v>306</v>
      </c>
      <c r="D121" s="127" t="s">
        <v>431</v>
      </c>
      <c r="E121" s="128"/>
      <c r="F121" s="128"/>
      <c r="G121" s="128"/>
      <c r="H121" s="128"/>
      <c r="I121" s="16" t="s">
        <v>460</v>
      </c>
      <c r="J121" s="26">
        <v>90.39</v>
      </c>
      <c r="K121" s="26">
        <v>0</v>
      </c>
      <c r="L121" s="26">
        <f>J121*AO121</f>
        <v>0</v>
      </c>
      <c r="M121" s="26">
        <f>J121*AP121</f>
        <v>0</v>
      </c>
      <c r="N121" s="46">
        <f>J121*K121</f>
        <v>0</v>
      </c>
      <c r="O121" s="7"/>
      <c r="Z121" s="36">
        <f>IF(AQ121="5",BJ121,0)</f>
        <v>0</v>
      </c>
      <c r="AB121" s="36">
        <f>IF(AQ121="1",BH121,0)</f>
        <v>0</v>
      </c>
      <c r="AC121" s="36">
        <f>IF(AQ121="1",BI121,0)</f>
        <v>0</v>
      </c>
      <c r="AD121" s="36">
        <f>IF(AQ121="7",BH121,0)</f>
        <v>0</v>
      </c>
      <c r="AE121" s="36">
        <f>IF(AQ121="7",BI121,0)</f>
        <v>0</v>
      </c>
      <c r="AF121" s="36">
        <f>IF(AQ121="2",BH121,0)</f>
        <v>0</v>
      </c>
      <c r="AG121" s="36">
        <f>IF(AQ121="2",BI121,0)</f>
        <v>0</v>
      </c>
      <c r="AH121" s="36">
        <f>IF(AQ121="0",BJ121,0)</f>
        <v>0</v>
      </c>
      <c r="AI121" s="35" t="s">
        <v>207</v>
      </c>
      <c r="AJ121" s="26">
        <f>IF(AN121=0,N121,0)</f>
        <v>0</v>
      </c>
      <c r="AK121" s="26">
        <f>IF(AN121=15,N121,0)</f>
        <v>0</v>
      </c>
      <c r="AL121" s="26">
        <f>IF(AN121=21,N121,0)</f>
        <v>0</v>
      </c>
      <c r="AN121" s="36">
        <v>21</v>
      </c>
      <c r="AO121" s="36">
        <f>K121*0.212094716408837</f>
        <v>0</v>
      </c>
      <c r="AP121" s="36">
        <f>K121*(1-0.212094716408837)</f>
        <v>0</v>
      </c>
      <c r="AQ121" s="37" t="s">
        <v>13</v>
      </c>
      <c r="AV121" s="36">
        <f>AW121+AX121</f>
        <v>0</v>
      </c>
      <c r="AW121" s="36">
        <f>J121*AO121</f>
        <v>0</v>
      </c>
      <c r="AX121" s="36">
        <f>J121*AP121</f>
        <v>0</v>
      </c>
      <c r="AY121" s="39" t="s">
        <v>499</v>
      </c>
      <c r="AZ121" s="39" t="s">
        <v>504</v>
      </c>
      <c r="BA121" s="35" t="s">
        <v>520</v>
      </c>
      <c r="BC121" s="36">
        <f>AW121+AX121</f>
        <v>0</v>
      </c>
      <c r="BD121" s="36">
        <f>K121/(100-BE121)*100</f>
        <v>0</v>
      </c>
      <c r="BE121" s="36">
        <v>0</v>
      </c>
      <c r="BF121" s="36">
        <f>121</f>
        <v>121</v>
      </c>
      <c r="BH121" s="26">
        <f>J121*AO121</f>
        <v>0</v>
      </c>
      <c r="BI121" s="26">
        <f>J121*AP121</f>
        <v>0</v>
      </c>
      <c r="BJ121" s="26">
        <f>J121*K121</f>
        <v>0</v>
      </c>
      <c r="BK121" s="26" t="s">
        <v>526</v>
      </c>
      <c r="BL121" s="36">
        <v>784</v>
      </c>
    </row>
    <row r="122" spans="1:64" ht="12.75">
      <c r="A122" s="5" t="s">
        <v>98</v>
      </c>
      <c r="B122" s="16" t="s">
        <v>207</v>
      </c>
      <c r="C122" s="16" t="s">
        <v>307</v>
      </c>
      <c r="D122" s="127" t="s">
        <v>432</v>
      </c>
      <c r="E122" s="128"/>
      <c r="F122" s="128"/>
      <c r="G122" s="128"/>
      <c r="H122" s="128"/>
      <c r="I122" s="16" t="s">
        <v>460</v>
      </c>
      <c r="J122" s="26">
        <v>90.39</v>
      </c>
      <c r="K122" s="26">
        <v>0</v>
      </c>
      <c r="L122" s="26">
        <f>J122*AO122</f>
        <v>0</v>
      </c>
      <c r="M122" s="26">
        <f>J122*AP122</f>
        <v>0</v>
      </c>
      <c r="N122" s="46">
        <f>J122*K122</f>
        <v>0</v>
      </c>
      <c r="O122" s="7"/>
      <c r="Z122" s="36">
        <f>IF(AQ122="5",BJ122,0)</f>
        <v>0</v>
      </c>
      <c r="AB122" s="36">
        <f>IF(AQ122="1",BH122,0)</f>
        <v>0</v>
      </c>
      <c r="AC122" s="36">
        <f>IF(AQ122="1",BI122,0)</f>
        <v>0</v>
      </c>
      <c r="AD122" s="36">
        <f>IF(AQ122="7",BH122,0)</f>
        <v>0</v>
      </c>
      <c r="AE122" s="36">
        <f>IF(AQ122="7",BI122,0)</f>
        <v>0</v>
      </c>
      <c r="AF122" s="36">
        <f>IF(AQ122="2",BH122,0)</f>
        <v>0</v>
      </c>
      <c r="AG122" s="36">
        <f>IF(AQ122="2",BI122,0)</f>
        <v>0</v>
      </c>
      <c r="AH122" s="36">
        <f>IF(AQ122="0",BJ122,0)</f>
        <v>0</v>
      </c>
      <c r="AI122" s="35" t="s">
        <v>207</v>
      </c>
      <c r="AJ122" s="26">
        <f>IF(AN122=0,N122,0)</f>
        <v>0</v>
      </c>
      <c r="AK122" s="26">
        <f>IF(AN122=15,N122,0)</f>
        <v>0</v>
      </c>
      <c r="AL122" s="26">
        <f>IF(AN122=21,N122,0)</f>
        <v>0</v>
      </c>
      <c r="AN122" s="36">
        <v>21</v>
      </c>
      <c r="AO122" s="36">
        <f>K122*0.00813005936319482</f>
        <v>0</v>
      </c>
      <c r="AP122" s="36">
        <f>K122*(1-0.00813005936319482)</f>
        <v>0</v>
      </c>
      <c r="AQ122" s="37" t="s">
        <v>13</v>
      </c>
      <c r="AV122" s="36">
        <f>AW122+AX122</f>
        <v>0</v>
      </c>
      <c r="AW122" s="36">
        <f>J122*AO122</f>
        <v>0</v>
      </c>
      <c r="AX122" s="36">
        <f>J122*AP122</f>
        <v>0</v>
      </c>
      <c r="AY122" s="39" t="s">
        <v>499</v>
      </c>
      <c r="AZ122" s="39" t="s">
        <v>504</v>
      </c>
      <c r="BA122" s="35" t="s">
        <v>520</v>
      </c>
      <c r="BC122" s="36">
        <f>AW122+AX122</f>
        <v>0</v>
      </c>
      <c r="BD122" s="36">
        <f>K122/(100-BE122)*100</f>
        <v>0</v>
      </c>
      <c r="BE122" s="36">
        <v>0</v>
      </c>
      <c r="BF122" s="36">
        <f>122</f>
        <v>122</v>
      </c>
      <c r="BH122" s="26">
        <f>J122*AO122</f>
        <v>0</v>
      </c>
      <c r="BI122" s="26">
        <f>J122*AP122</f>
        <v>0</v>
      </c>
      <c r="BJ122" s="26">
        <f>J122*K122</f>
        <v>0</v>
      </c>
      <c r="BK122" s="26" t="s">
        <v>526</v>
      </c>
      <c r="BL122" s="36">
        <v>784</v>
      </c>
    </row>
    <row r="123" spans="1:64" ht="12.75">
      <c r="A123" s="5" t="s">
        <v>99</v>
      </c>
      <c r="B123" s="16" t="s">
        <v>207</v>
      </c>
      <c r="C123" s="16" t="s">
        <v>308</v>
      </c>
      <c r="D123" s="127" t="s">
        <v>433</v>
      </c>
      <c r="E123" s="128"/>
      <c r="F123" s="128"/>
      <c r="G123" s="128"/>
      <c r="H123" s="128"/>
      <c r="I123" s="16" t="s">
        <v>460</v>
      </c>
      <c r="J123" s="26">
        <v>127.915</v>
      </c>
      <c r="K123" s="26">
        <v>0</v>
      </c>
      <c r="L123" s="26">
        <f>J123*AO123</f>
        <v>0</v>
      </c>
      <c r="M123" s="26">
        <f>J123*AP123</f>
        <v>0</v>
      </c>
      <c r="N123" s="46">
        <f>J123*K123</f>
        <v>0</v>
      </c>
      <c r="O123" s="7"/>
      <c r="Z123" s="36">
        <f>IF(AQ123="5",BJ123,0)</f>
        <v>0</v>
      </c>
      <c r="AB123" s="36">
        <f>IF(AQ123="1",BH123,0)</f>
        <v>0</v>
      </c>
      <c r="AC123" s="36">
        <f>IF(AQ123="1",BI123,0)</f>
        <v>0</v>
      </c>
      <c r="AD123" s="36">
        <f>IF(AQ123="7",BH123,0)</f>
        <v>0</v>
      </c>
      <c r="AE123" s="36">
        <f>IF(AQ123="7",BI123,0)</f>
        <v>0</v>
      </c>
      <c r="AF123" s="36">
        <f>IF(AQ123="2",BH123,0)</f>
        <v>0</v>
      </c>
      <c r="AG123" s="36">
        <f>IF(AQ123="2",BI123,0)</f>
        <v>0</v>
      </c>
      <c r="AH123" s="36">
        <f>IF(AQ123="0",BJ123,0)</f>
        <v>0</v>
      </c>
      <c r="AI123" s="35" t="s">
        <v>207</v>
      </c>
      <c r="AJ123" s="26">
        <f>IF(AN123=0,N123,0)</f>
        <v>0</v>
      </c>
      <c r="AK123" s="26">
        <f>IF(AN123=15,N123,0)</f>
        <v>0</v>
      </c>
      <c r="AL123" s="26">
        <f>IF(AN123=21,N123,0)</f>
        <v>0</v>
      </c>
      <c r="AN123" s="36">
        <v>21</v>
      </c>
      <c r="AO123" s="36">
        <f>K123*0</f>
        <v>0</v>
      </c>
      <c r="AP123" s="36">
        <f>K123*(1-0)</f>
        <v>0</v>
      </c>
      <c r="AQ123" s="37" t="s">
        <v>13</v>
      </c>
      <c r="AV123" s="36">
        <f>AW123+AX123</f>
        <v>0</v>
      </c>
      <c r="AW123" s="36">
        <f>J123*AO123</f>
        <v>0</v>
      </c>
      <c r="AX123" s="36">
        <f>J123*AP123</f>
        <v>0</v>
      </c>
      <c r="AY123" s="39" t="s">
        <v>499</v>
      </c>
      <c r="AZ123" s="39" t="s">
        <v>504</v>
      </c>
      <c r="BA123" s="35" t="s">
        <v>520</v>
      </c>
      <c r="BC123" s="36">
        <f>AW123+AX123</f>
        <v>0</v>
      </c>
      <c r="BD123" s="36">
        <f>K123/(100-BE123)*100</f>
        <v>0</v>
      </c>
      <c r="BE123" s="36">
        <v>0</v>
      </c>
      <c r="BF123" s="36">
        <f>123</f>
        <v>123</v>
      </c>
      <c r="BH123" s="26">
        <f>J123*AO123</f>
        <v>0</v>
      </c>
      <c r="BI123" s="26">
        <f>J123*AP123</f>
        <v>0</v>
      </c>
      <c r="BJ123" s="26">
        <f>J123*K123</f>
        <v>0</v>
      </c>
      <c r="BK123" s="26" t="s">
        <v>526</v>
      </c>
      <c r="BL123" s="36">
        <v>784</v>
      </c>
    </row>
    <row r="124" spans="1:47" ht="12.75">
      <c r="A124" s="4"/>
      <c r="B124" s="15" t="s">
        <v>207</v>
      </c>
      <c r="C124" s="15" t="s">
        <v>100</v>
      </c>
      <c r="D124" s="129" t="s">
        <v>434</v>
      </c>
      <c r="E124" s="130"/>
      <c r="F124" s="130"/>
      <c r="G124" s="130"/>
      <c r="H124" s="130"/>
      <c r="I124" s="23" t="s">
        <v>6</v>
      </c>
      <c r="J124" s="23" t="s">
        <v>6</v>
      </c>
      <c r="K124" s="23" t="s">
        <v>6</v>
      </c>
      <c r="L124" s="42">
        <f>SUM(L125:L125)</f>
        <v>0</v>
      </c>
      <c r="M124" s="42">
        <f>SUM(M125:M125)</f>
        <v>0</v>
      </c>
      <c r="N124" s="45">
        <f>SUM(N125:N125)</f>
        <v>0</v>
      </c>
      <c r="O124" s="7"/>
      <c r="AI124" s="35" t="s">
        <v>207</v>
      </c>
      <c r="AS124" s="42">
        <f>SUM(AJ125:AJ125)</f>
        <v>0</v>
      </c>
      <c r="AT124" s="42">
        <f>SUM(AK125:AK125)</f>
        <v>0</v>
      </c>
      <c r="AU124" s="42">
        <f>SUM(AL125:AL125)</f>
        <v>0</v>
      </c>
    </row>
    <row r="125" spans="1:64" ht="12.75">
      <c r="A125" s="5" t="s">
        <v>100</v>
      </c>
      <c r="B125" s="16" t="s">
        <v>207</v>
      </c>
      <c r="C125" s="16" t="s">
        <v>309</v>
      </c>
      <c r="D125" s="127" t="s">
        <v>435</v>
      </c>
      <c r="E125" s="128"/>
      <c r="F125" s="128"/>
      <c r="G125" s="128"/>
      <c r="H125" s="128"/>
      <c r="I125" s="16" t="s">
        <v>460</v>
      </c>
      <c r="J125" s="26">
        <v>20.28</v>
      </c>
      <c r="K125" s="26">
        <v>0</v>
      </c>
      <c r="L125" s="26">
        <f>J125*AO125</f>
        <v>0</v>
      </c>
      <c r="M125" s="26">
        <f>J125*AP125</f>
        <v>0</v>
      </c>
      <c r="N125" s="46">
        <f>J125*K125</f>
        <v>0</v>
      </c>
      <c r="O125" s="7"/>
      <c r="Z125" s="36">
        <f>IF(AQ125="5",BJ125,0)</f>
        <v>0</v>
      </c>
      <c r="AB125" s="36">
        <f>IF(AQ125="1",BH125,0)</f>
        <v>0</v>
      </c>
      <c r="AC125" s="36">
        <f>IF(AQ125="1",BI125,0)</f>
        <v>0</v>
      </c>
      <c r="AD125" s="36">
        <f>IF(AQ125="7",BH125,0)</f>
        <v>0</v>
      </c>
      <c r="AE125" s="36">
        <f>IF(AQ125="7",BI125,0)</f>
        <v>0</v>
      </c>
      <c r="AF125" s="36">
        <f>IF(AQ125="2",BH125,0)</f>
        <v>0</v>
      </c>
      <c r="AG125" s="36">
        <f>IF(AQ125="2",BI125,0)</f>
        <v>0</v>
      </c>
      <c r="AH125" s="36">
        <f>IF(AQ125="0",BJ125,0)</f>
        <v>0</v>
      </c>
      <c r="AI125" s="35" t="s">
        <v>207</v>
      </c>
      <c r="AJ125" s="26">
        <f>IF(AN125=0,N125,0)</f>
        <v>0</v>
      </c>
      <c r="AK125" s="26">
        <f>IF(AN125=15,N125,0)</f>
        <v>0</v>
      </c>
      <c r="AL125" s="26">
        <f>IF(AN125=21,N125,0)</f>
        <v>0</v>
      </c>
      <c r="AN125" s="36">
        <v>21</v>
      </c>
      <c r="AO125" s="36">
        <f>K125*0.348242701001121</f>
        <v>0</v>
      </c>
      <c r="AP125" s="36">
        <f>K125*(1-0.348242701001121)</f>
        <v>0</v>
      </c>
      <c r="AQ125" s="37" t="s">
        <v>7</v>
      </c>
      <c r="AV125" s="36">
        <f>AW125+AX125</f>
        <v>0</v>
      </c>
      <c r="AW125" s="36">
        <f>J125*AO125</f>
        <v>0</v>
      </c>
      <c r="AX125" s="36">
        <f>J125*AP125</f>
        <v>0</v>
      </c>
      <c r="AY125" s="39" t="s">
        <v>500</v>
      </c>
      <c r="AZ125" s="39" t="s">
        <v>511</v>
      </c>
      <c r="BA125" s="35" t="s">
        <v>520</v>
      </c>
      <c r="BC125" s="36">
        <f>AW125+AX125</f>
        <v>0</v>
      </c>
      <c r="BD125" s="36">
        <f>K125/(100-BE125)*100</f>
        <v>0</v>
      </c>
      <c r="BE125" s="36">
        <v>0</v>
      </c>
      <c r="BF125" s="36">
        <f>125</f>
        <v>125</v>
      </c>
      <c r="BH125" s="26">
        <f>J125*AO125</f>
        <v>0</v>
      </c>
      <c r="BI125" s="26">
        <f>J125*AP125</f>
        <v>0</v>
      </c>
      <c r="BJ125" s="26">
        <f>J125*K125</f>
        <v>0</v>
      </c>
      <c r="BK125" s="26" t="s">
        <v>526</v>
      </c>
      <c r="BL125" s="36">
        <v>94</v>
      </c>
    </row>
    <row r="126" spans="1:47" ht="12.75">
      <c r="A126" s="4"/>
      <c r="B126" s="15" t="s">
        <v>207</v>
      </c>
      <c r="C126" s="15" t="s">
        <v>101</v>
      </c>
      <c r="D126" s="129" t="s">
        <v>436</v>
      </c>
      <c r="E126" s="130"/>
      <c r="F126" s="130"/>
      <c r="G126" s="130"/>
      <c r="H126" s="130"/>
      <c r="I126" s="23" t="s">
        <v>6</v>
      </c>
      <c r="J126" s="23" t="s">
        <v>6</v>
      </c>
      <c r="K126" s="23" t="s">
        <v>6</v>
      </c>
      <c r="L126" s="42">
        <f>SUM(L127:L127)</f>
        <v>0</v>
      </c>
      <c r="M126" s="42">
        <f>SUM(M127:M127)</f>
        <v>0</v>
      </c>
      <c r="N126" s="45">
        <f>SUM(N127:N127)</f>
        <v>0</v>
      </c>
      <c r="O126" s="7"/>
      <c r="AI126" s="35" t="s">
        <v>207</v>
      </c>
      <c r="AS126" s="42">
        <f>SUM(AJ127:AJ127)</f>
        <v>0</v>
      </c>
      <c r="AT126" s="42">
        <f>SUM(AK127:AK127)</f>
        <v>0</v>
      </c>
      <c r="AU126" s="42">
        <f>SUM(AL127:AL127)</f>
        <v>0</v>
      </c>
    </row>
    <row r="127" spans="1:64" ht="12.75">
      <c r="A127" s="5" t="s">
        <v>101</v>
      </c>
      <c r="B127" s="16" t="s">
        <v>207</v>
      </c>
      <c r="C127" s="16" t="s">
        <v>310</v>
      </c>
      <c r="D127" s="127" t="s">
        <v>437</v>
      </c>
      <c r="E127" s="128"/>
      <c r="F127" s="128"/>
      <c r="G127" s="128"/>
      <c r="H127" s="128"/>
      <c r="I127" s="16" t="s">
        <v>460</v>
      </c>
      <c r="J127" s="26">
        <v>20.28</v>
      </c>
      <c r="K127" s="26">
        <v>0</v>
      </c>
      <c r="L127" s="26">
        <f>J127*AO127</f>
        <v>0</v>
      </c>
      <c r="M127" s="26">
        <f>J127*AP127</f>
        <v>0</v>
      </c>
      <c r="N127" s="46">
        <f>J127*K127</f>
        <v>0</v>
      </c>
      <c r="O127" s="7"/>
      <c r="Z127" s="36">
        <f>IF(AQ127="5",BJ127,0)</f>
        <v>0</v>
      </c>
      <c r="AB127" s="36">
        <f>IF(AQ127="1",BH127,0)</f>
        <v>0</v>
      </c>
      <c r="AC127" s="36">
        <f>IF(AQ127="1",BI127,0)</f>
        <v>0</v>
      </c>
      <c r="AD127" s="36">
        <f>IF(AQ127="7",BH127,0)</f>
        <v>0</v>
      </c>
      <c r="AE127" s="36">
        <f>IF(AQ127="7",BI127,0)</f>
        <v>0</v>
      </c>
      <c r="AF127" s="36">
        <f>IF(AQ127="2",BH127,0)</f>
        <v>0</v>
      </c>
      <c r="AG127" s="36">
        <f>IF(AQ127="2",BI127,0)</f>
        <v>0</v>
      </c>
      <c r="AH127" s="36">
        <f>IF(AQ127="0",BJ127,0)</f>
        <v>0</v>
      </c>
      <c r="AI127" s="35" t="s">
        <v>207</v>
      </c>
      <c r="AJ127" s="26">
        <f>IF(AN127=0,N127,0)</f>
        <v>0</v>
      </c>
      <c r="AK127" s="26">
        <f>IF(AN127=15,N127,0)</f>
        <v>0</v>
      </c>
      <c r="AL127" s="26">
        <f>IF(AN127=21,N127,0)</f>
        <v>0</v>
      </c>
      <c r="AN127" s="36">
        <v>21</v>
      </c>
      <c r="AO127" s="36">
        <f>K127*0.0105119453924915</f>
        <v>0</v>
      </c>
      <c r="AP127" s="36">
        <f>K127*(1-0.0105119453924915)</f>
        <v>0</v>
      </c>
      <c r="AQ127" s="37" t="s">
        <v>7</v>
      </c>
      <c r="AV127" s="36">
        <f>AW127+AX127</f>
        <v>0</v>
      </c>
      <c r="AW127" s="36">
        <f>J127*AO127</f>
        <v>0</v>
      </c>
      <c r="AX127" s="36">
        <f>J127*AP127</f>
        <v>0</v>
      </c>
      <c r="AY127" s="39" t="s">
        <v>501</v>
      </c>
      <c r="AZ127" s="39" t="s">
        <v>511</v>
      </c>
      <c r="BA127" s="35" t="s">
        <v>520</v>
      </c>
      <c r="BC127" s="36">
        <f>AW127+AX127</f>
        <v>0</v>
      </c>
      <c r="BD127" s="36">
        <f>K127/(100-BE127)*100</f>
        <v>0</v>
      </c>
      <c r="BE127" s="36">
        <v>0</v>
      </c>
      <c r="BF127" s="36">
        <f>127</f>
        <v>127</v>
      </c>
      <c r="BH127" s="26">
        <f>J127*AO127</f>
        <v>0</v>
      </c>
      <c r="BI127" s="26">
        <f>J127*AP127</f>
        <v>0</v>
      </c>
      <c r="BJ127" s="26">
        <f>J127*K127</f>
        <v>0</v>
      </c>
      <c r="BK127" s="26" t="s">
        <v>526</v>
      </c>
      <c r="BL127" s="36">
        <v>95</v>
      </c>
    </row>
    <row r="128" spans="1:47" ht="12.75">
      <c r="A128" s="4"/>
      <c r="B128" s="15" t="s">
        <v>207</v>
      </c>
      <c r="C128" s="15" t="s">
        <v>311</v>
      </c>
      <c r="D128" s="129" t="s">
        <v>438</v>
      </c>
      <c r="E128" s="130"/>
      <c r="F128" s="130"/>
      <c r="G128" s="130"/>
      <c r="H128" s="130"/>
      <c r="I128" s="23" t="s">
        <v>6</v>
      </c>
      <c r="J128" s="23" t="s">
        <v>6</v>
      </c>
      <c r="K128" s="23" t="s">
        <v>6</v>
      </c>
      <c r="L128" s="42">
        <f>SUM(L129:L136)</f>
        <v>0</v>
      </c>
      <c r="M128" s="42">
        <f>SUM(M129:M136)</f>
        <v>0</v>
      </c>
      <c r="N128" s="45">
        <f>SUM(N129:N136)</f>
        <v>0</v>
      </c>
      <c r="O128" s="7"/>
      <c r="AI128" s="35" t="s">
        <v>207</v>
      </c>
      <c r="AS128" s="42">
        <f>SUM(AJ129:AJ136)</f>
        <v>0</v>
      </c>
      <c r="AT128" s="42">
        <f>SUM(AK129:AK136)</f>
        <v>0</v>
      </c>
      <c r="AU128" s="42">
        <f>SUM(AL129:AL136)</f>
        <v>0</v>
      </c>
    </row>
    <row r="129" spans="1:64" ht="12.75">
      <c r="A129" s="5" t="s">
        <v>102</v>
      </c>
      <c r="B129" s="16" t="s">
        <v>207</v>
      </c>
      <c r="C129" s="16" t="s">
        <v>312</v>
      </c>
      <c r="D129" s="127" t="s">
        <v>439</v>
      </c>
      <c r="E129" s="128"/>
      <c r="F129" s="128"/>
      <c r="G129" s="128"/>
      <c r="H129" s="128"/>
      <c r="I129" s="16" t="s">
        <v>463</v>
      </c>
      <c r="J129" s="26">
        <v>10</v>
      </c>
      <c r="K129" s="26">
        <v>0</v>
      </c>
      <c r="L129" s="26">
        <f aca="true" t="shared" si="154" ref="L129:L136">J129*AO129</f>
        <v>0</v>
      </c>
      <c r="M129" s="26">
        <f aca="true" t="shared" si="155" ref="M129:M136">J129*AP129</f>
        <v>0</v>
      </c>
      <c r="N129" s="46">
        <f aca="true" t="shared" si="156" ref="N129:N136">J129*K129</f>
        <v>0</v>
      </c>
      <c r="O129" s="7"/>
      <c r="Z129" s="36">
        <f aca="true" t="shared" si="157" ref="Z129:Z136">IF(AQ129="5",BJ129,0)</f>
        <v>0</v>
      </c>
      <c r="AB129" s="36">
        <f aca="true" t="shared" si="158" ref="AB129:AB136">IF(AQ129="1",BH129,0)</f>
        <v>0</v>
      </c>
      <c r="AC129" s="36">
        <f aca="true" t="shared" si="159" ref="AC129:AC136">IF(AQ129="1",BI129,0)</f>
        <v>0</v>
      </c>
      <c r="AD129" s="36">
        <f aca="true" t="shared" si="160" ref="AD129:AD136">IF(AQ129="7",BH129,0)</f>
        <v>0</v>
      </c>
      <c r="AE129" s="36">
        <f aca="true" t="shared" si="161" ref="AE129:AE136">IF(AQ129="7",BI129,0)</f>
        <v>0</v>
      </c>
      <c r="AF129" s="36">
        <f aca="true" t="shared" si="162" ref="AF129:AF136">IF(AQ129="2",BH129,0)</f>
        <v>0</v>
      </c>
      <c r="AG129" s="36">
        <f aca="true" t="shared" si="163" ref="AG129:AG136">IF(AQ129="2",BI129,0)</f>
        <v>0</v>
      </c>
      <c r="AH129" s="36">
        <f aca="true" t="shared" si="164" ref="AH129:AH136">IF(AQ129="0",BJ129,0)</f>
        <v>0</v>
      </c>
      <c r="AI129" s="35" t="s">
        <v>207</v>
      </c>
      <c r="AJ129" s="26">
        <f aca="true" t="shared" si="165" ref="AJ129:AJ136">IF(AN129=0,N129,0)</f>
        <v>0</v>
      </c>
      <c r="AK129" s="26">
        <f aca="true" t="shared" si="166" ref="AK129:AK136">IF(AN129=15,N129,0)</f>
        <v>0</v>
      </c>
      <c r="AL129" s="26">
        <f aca="true" t="shared" si="167" ref="AL129:AL136">IF(AN129=21,N129,0)</f>
        <v>0</v>
      </c>
      <c r="AN129" s="36">
        <v>21</v>
      </c>
      <c r="AO129" s="36">
        <f aca="true" t="shared" si="168" ref="AO129:AO136">K129*0</f>
        <v>0</v>
      </c>
      <c r="AP129" s="36">
        <f aca="true" t="shared" si="169" ref="AP129:AP136">K129*(1-0)</f>
        <v>0</v>
      </c>
      <c r="AQ129" s="37" t="s">
        <v>11</v>
      </c>
      <c r="AV129" s="36">
        <f aca="true" t="shared" si="170" ref="AV129:AV136">AW129+AX129</f>
        <v>0</v>
      </c>
      <c r="AW129" s="36">
        <f aca="true" t="shared" si="171" ref="AW129:AW136">J129*AO129</f>
        <v>0</v>
      </c>
      <c r="AX129" s="36">
        <f aca="true" t="shared" si="172" ref="AX129:AX136">J129*AP129</f>
        <v>0</v>
      </c>
      <c r="AY129" s="39" t="s">
        <v>502</v>
      </c>
      <c r="AZ129" s="39" t="s">
        <v>511</v>
      </c>
      <c r="BA129" s="35" t="s">
        <v>520</v>
      </c>
      <c r="BC129" s="36">
        <f aca="true" t="shared" si="173" ref="BC129:BC136">AW129+AX129</f>
        <v>0</v>
      </c>
      <c r="BD129" s="36">
        <f aca="true" t="shared" si="174" ref="BD129:BD136">K129/(100-BE129)*100</f>
        <v>0</v>
      </c>
      <c r="BE129" s="36">
        <v>0</v>
      </c>
      <c r="BF129" s="36">
        <f>129</f>
        <v>129</v>
      </c>
      <c r="BH129" s="26">
        <f aca="true" t="shared" si="175" ref="BH129:BH136">J129*AO129</f>
        <v>0</v>
      </c>
      <c r="BI129" s="26">
        <f aca="true" t="shared" si="176" ref="BI129:BI136">J129*AP129</f>
        <v>0</v>
      </c>
      <c r="BJ129" s="26">
        <f aca="true" t="shared" si="177" ref="BJ129:BJ136">J129*K129</f>
        <v>0</v>
      </c>
      <c r="BK129" s="26" t="s">
        <v>526</v>
      </c>
      <c r="BL129" s="36" t="s">
        <v>311</v>
      </c>
    </row>
    <row r="130" spans="1:64" ht="12.75">
      <c r="A130" s="5" t="s">
        <v>103</v>
      </c>
      <c r="B130" s="16" t="s">
        <v>207</v>
      </c>
      <c r="C130" s="16" t="s">
        <v>313</v>
      </c>
      <c r="D130" s="127" t="s">
        <v>440</v>
      </c>
      <c r="E130" s="128"/>
      <c r="F130" s="128"/>
      <c r="G130" s="128"/>
      <c r="H130" s="128"/>
      <c r="I130" s="16" t="s">
        <v>463</v>
      </c>
      <c r="J130" s="26">
        <v>20</v>
      </c>
      <c r="K130" s="26">
        <v>0</v>
      </c>
      <c r="L130" s="26">
        <f t="shared" si="154"/>
        <v>0</v>
      </c>
      <c r="M130" s="26">
        <f t="shared" si="155"/>
        <v>0</v>
      </c>
      <c r="N130" s="46">
        <f t="shared" si="156"/>
        <v>0</v>
      </c>
      <c r="O130" s="7"/>
      <c r="Z130" s="36">
        <f t="shared" si="157"/>
        <v>0</v>
      </c>
      <c r="AB130" s="36">
        <f t="shared" si="158"/>
        <v>0</v>
      </c>
      <c r="AC130" s="36">
        <f t="shared" si="159"/>
        <v>0</v>
      </c>
      <c r="AD130" s="36">
        <f t="shared" si="160"/>
        <v>0</v>
      </c>
      <c r="AE130" s="36">
        <f t="shared" si="161"/>
        <v>0</v>
      </c>
      <c r="AF130" s="36">
        <f t="shared" si="162"/>
        <v>0</v>
      </c>
      <c r="AG130" s="36">
        <f t="shared" si="163"/>
        <v>0</v>
      </c>
      <c r="AH130" s="36">
        <f t="shared" si="164"/>
        <v>0</v>
      </c>
      <c r="AI130" s="35" t="s">
        <v>207</v>
      </c>
      <c r="AJ130" s="26">
        <f t="shared" si="165"/>
        <v>0</v>
      </c>
      <c r="AK130" s="26">
        <f t="shared" si="166"/>
        <v>0</v>
      </c>
      <c r="AL130" s="26">
        <f t="shared" si="167"/>
        <v>0</v>
      </c>
      <c r="AN130" s="36">
        <v>21</v>
      </c>
      <c r="AO130" s="36">
        <f t="shared" si="168"/>
        <v>0</v>
      </c>
      <c r="AP130" s="36">
        <f t="shared" si="169"/>
        <v>0</v>
      </c>
      <c r="AQ130" s="37" t="s">
        <v>11</v>
      </c>
      <c r="AV130" s="36">
        <f t="shared" si="170"/>
        <v>0</v>
      </c>
      <c r="AW130" s="36">
        <f t="shared" si="171"/>
        <v>0</v>
      </c>
      <c r="AX130" s="36">
        <f t="shared" si="172"/>
        <v>0</v>
      </c>
      <c r="AY130" s="39" t="s">
        <v>502</v>
      </c>
      <c r="AZ130" s="39" t="s">
        <v>511</v>
      </c>
      <c r="BA130" s="35" t="s">
        <v>520</v>
      </c>
      <c r="BC130" s="36">
        <f t="shared" si="173"/>
        <v>0</v>
      </c>
      <c r="BD130" s="36">
        <f t="shared" si="174"/>
        <v>0</v>
      </c>
      <c r="BE130" s="36">
        <v>0</v>
      </c>
      <c r="BF130" s="36">
        <f>130</f>
        <v>130</v>
      </c>
      <c r="BH130" s="26">
        <f t="shared" si="175"/>
        <v>0</v>
      </c>
      <c r="BI130" s="26">
        <f t="shared" si="176"/>
        <v>0</v>
      </c>
      <c r="BJ130" s="26">
        <f t="shared" si="177"/>
        <v>0</v>
      </c>
      <c r="BK130" s="26" t="s">
        <v>526</v>
      </c>
      <c r="BL130" s="36" t="s">
        <v>311</v>
      </c>
    </row>
    <row r="131" spans="1:64" ht="12.75">
      <c r="A131" s="5" t="s">
        <v>104</v>
      </c>
      <c r="B131" s="16" t="s">
        <v>207</v>
      </c>
      <c r="C131" s="16" t="s">
        <v>314</v>
      </c>
      <c r="D131" s="127" t="s">
        <v>441</v>
      </c>
      <c r="E131" s="128"/>
      <c r="F131" s="128"/>
      <c r="G131" s="128"/>
      <c r="H131" s="128"/>
      <c r="I131" s="16" t="s">
        <v>463</v>
      </c>
      <c r="J131" s="26">
        <v>10</v>
      </c>
      <c r="K131" s="26">
        <v>0</v>
      </c>
      <c r="L131" s="26">
        <f t="shared" si="154"/>
        <v>0</v>
      </c>
      <c r="M131" s="26">
        <f t="shared" si="155"/>
        <v>0</v>
      </c>
      <c r="N131" s="46">
        <f t="shared" si="156"/>
        <v>0</v>
      </c>
      <c r="O131" s="7"/>
      <c r="Z131" s="36">
        <f t="shared" si="157"/>
        <v>0</v>
      </c>
      <c r="AB131" s="36">
        <f t="shared" si="158"/>
        <v>0</v>
      </c>
      <c r="AC131" s="36">
        <f t="shared" si="159"/>
        <v>0</v>
      </c>
      <c r="AD131" s="36">
        <f t="shared" si="160"/>
        <v>0</v>
      </c>
      <c r="AE131" s="36">
        <f t="shared" si="161"/>
        <v>0</v>
      </c>
      <c r="AF131" s="36">
        <f t="shared" si="162"/>
        <v>0</v>
      </c>
      <c r="AG131" s="36">
        <f t="shared" si="163"/>
        <v>0</v>
      </c>
      <c r="AH131" s="36">
        <f t="shared" si="164"/>
        <v>0</v>
      </c>
      <c r="AI131" s="35" t="s">
        <v>207</v>
      </c>
      <c r="AJ131" s="26">
        <f t="shared" si="165"/>
        <v>0</v>
      </c>
      <c r="AK131" s="26">
        <f t="shared" si="166"/>
        <v>0</v>
      </c>
      <c r="AL131" s="26">
        <f t="shared" si="167"/>
        <v>0</v>
      </c>
      <c r="AN131" s="36">
        <v>21</v>
      </c>
      <c r="AO131" s="36">
        <f t="shared" si="168"/>
        <v>0</v>
      </c>
      <c r="AP131" s="36">
        <f t="shared" si="169"/>
        <v>0</v>
      </c>
      <c r="AQ131" s="37" t="s">
        <v>11</v>
      </c>
      <c r="AV131" s="36">
        <f t="shared" si="170"/>
        <v>0</v>
      </c>
      <c r="AW131" s="36">
        <f t="shared" si="171"/>
        <v>0</v>
      </c>
      <c r="AX131" s="36">
        <f t="shared" si="172"/>
        <v>0</v>
      </c>
      <c r="AY131" s="39" t="s">
        <v>502</v>
      </c>
      <c r="AZ131" s="39" t="s">
        <v>511</v>
      </c>
      <c r="BA131" s="35" t="s">
        <v>520</v>
      </c>
      <c r="BC131" s="36">
        <f t="shared" si="173"/>
        <v>0</v>
      </c>
      <c r="BD131" s="36">
        <f t="shared" si="174"/>
        <v>0</v>
      </c>
      <c r="BE131" s="36">
        <v>0</v>
      </c>
      <c r="BF131" s="36">
        <f>131</f>
        <v>131</v>
      </c>
      <c r="BH131" s="26">
        <f t="shared" si="175"/>
        <v>0</v>
      </c>
      <c r="BI131" s="26">
        <f t="shared" si="176"/>
        <v>0</v>
      </c>
      <c r="BJ131" s="26">
        <f t="shared" si="177"/>
        <v>0</v>
      </c>
      <c r="BK131" s="26" t="s">
        <v>526</v>
      </c>
      <c r="BL131" s="36" t="s">
        <v>311</v>
      </c>
    </row>
    <row r="132" spans="1:64" ht="12.75">
      <c r="A132" s="5" t="s">
        <v>105</v>
      </c>
      <c r="B132" s="16" t="s">
        <v>207</v>
      </c>
      <c r="C132" s="16" t="s">
        <v>315</v>
      </c>
      <c r="D132" s="127" t="s">
        <v>442</v>
      </c>
      <c r="E132" s="128"/>
      <c r="F132" s="128"/>
      <c r="G132" s="128"/>
      <c r="H132" s="128"/>
      <c r="I132" s="16" t="s">
        <v>463</v>
      </c>
      <c r="J132" s="26">
        <v>10</v>
      </c>
      <c r="K132" s="26">
        <v>0</v>
      </c>
      <c r="L132" s="26">
        <f t="shared" si="154"/>
        <v>0</v>
      </c>
      <c r="M132" s="26">
        <f t="shared" si="155"/>
        <v>0</v>
      </c>
      <c r="N132" s="46">
        <f t="shared" si="156"/>
        <v>0</v>
      </c>
      <c r="O132" s="7"/>
      <c r="Z132" s="36">
        <f t="shared" si="157"/>
        <v>0</v>
      </c>
      <c r="AB132" s="36">
        <f t="shared" si="158"/>
        <v>0</v>
      </c>
      <c r="AC132" s="36">
        <f t="shared" si="159"/>
        <v>0</v>
      </c>
      <c r="AD132" s="36">
        <f t="shared" si="160"/>
        <v>0</v>
      </c>
      <c r="AE132" s="36">
        <f t="shared" si="161"/>
        <v>0</v>
      </c>
      <c r="AF132" s="36">
        <f t="shared" si="162"/>
        <v>0</v>
      </c>
      <c r="AG132" s="36">
        <f t="shared" si="163"/>
        <v>0</v>
      </c>
      <c r="AH132" s="36">
        <f t="shared" si="164"/>
        <v>0</v>
      </c>
      <c r="AI132" s="35" t="s">
        <v>207</v>
      </c>
      <c r="AJ132" s="26">
        <f t="shared" si="165"/>
        <v>0</v>
      </c>
      <c r="AK132" s="26">
        <f t="shared" si="166"/>
        <v>0</v>
      </c>
      <c r="AL132" s="26">
        <f t="shared" si="167"/>
        <v>0</v>
      </c>
      <c r="AN132" s="36">
        <v>21</v>
      </c>
      <c r="AO132" s="36">
        <f t="shared" si="168"/>
        <v>0</v>
      </c>
      <c r="AP132" s="36">
        <f t="shared" si="169"/>
        <v>0</v>
      </c>
      <c r="AQ132" s="37" t="s">
        <v>11</v>
      </c>
      <c r="AV132" s="36">
        <f t="shared" si="170"/>
        <v>0</v>
      </c>
      <c r="AW132" s="36">
        <f t="shared" si="171"/>
        <v>0</v>
      </c>
      <c r="AX132" s="36">
        <f t="shared" si="172"/>
        <v>0</v>
      </c>
      <c r="AY132" s="39" t="s">
        <v>502</v>
      </c>
      <c r="AZ132" s="39" t="s">
        <v>511</v>
      </c>
      <c r="BA132" s="35" t="s">
        <v>520</v>
      </c>
      <c r="BC132" s="36">
        <f t="shared" si="173"/>
        <v>0</v>
      </c>
      <c r="BD132" s="36">
        <f t="shared" si="174"/>
        <v>0</v>
      </c>
      <c r="BE132" s="36">
        <v>0</v>
      </c>
      <c r="BF132" s="36">
        <f>132</f>
        <v>132</v>
      </c>
      <c r="BH132" s="26">
        <f t="shared" si="175"/>
        <v>0</v>
      </c>
      <c r="BI132" s="26">
        <f t="shared" si="176"/>
        <v>0</v>
      </c>
      <c r="BJ132" s="26">
        <f t="shared" si="177"/>
        <v>0</v>
      </c>
      <c r="BK132" s="26" t="s">
        <v>526</v>
      </c>
      <c r="BL132" s="36" t="s">
        <v>311</v>
      </c>
    </row>
    <row r="133" spans="1:64" ht="12.75">
      <c r="A133" s="5" t="s">
        <v>106</v>
      </c>
      <c r="B133" s="16" t="s">
        <v>207</v>
      </c>
      <c r="C133" s="16" t="s">
        <v>316</v>
      </c>
      <c r="D133" s="127" t="s">
        <v>443</v>
      </c>
      <c r="E133" s="128"/>
      <c r="F133" s="128"/>
      <c r="G133" s="128"/>
      <c r="H133" s="128"/>
      <c r="I133" s="16" t="s">
        <v>463</v>
      </c>
      <c r="J133" s="26">
        <v>150</v>
      </c>
      <c r="K133" s="26">
        <v>0</v>
      </c>
      <c r="L133" s="26">
        <f t="shared" si="154"/>
        <v>0</v>
      </c>
      <c r="M133" s="26">
        <f t="shared" si="155"/>
        <v>0</v>
      </c>
      <c r="N133" s="46">
        <f t="shared" si="156"/>
        <v>0</v>
      </c>
      <c r="O133" s="7"/>
      <c r="Z133" s="36">
        <f t="shared" si="157"/>
        <v>0</v>
      </c>
      <c r="AB133" s="36">
        <f t="shared" si="158"/>
        <v>0</v>
      </c>
      <c r="AC133" s="36">
        <f t="shared" si="159"/>
        <v>0</v>
      </c>
      <c r="AD133" s="36">
        <f t="shared" si="160"/>
        <v>0</v>
      </c>
      <c r="AE133" s="36">
        <f t="shared" si="161"/>
        <v>0</v>
      </c>
      <c r="AF133" s="36">
        <f t="shared" si="162"/>
        <v>0</v>
      </c>
      <c r="AG133" s="36">
        <f t="shared" si="163"/>
        <v>0</v>
      </c>
      <c r="AH133" s="36">
        <f t="shared" si="164"/>
        <v>0</v>
      </c>
      <c r="AI133" s="35" t="s">
        <v>207</v>
      </c>
      <c r="AJ133" s="26">
        <f t="shared" si="165"/>
        <v>0</v>
      </c>
      <c r="AK133" s="26">
        <f t="shared" si="166"/>
        <v>0</v>
      </c>
      <c r="AL133" s="26">
        <f t="shared" si="167"/>
        <v>0</v>
      </c>
      <c r="AN133" s="36">
        <v>21</v>
      </c>
      <c r="AO133" s="36">
        <f t="shared" si="168"/>
        <v>0</v>
      </c>
      <c r="AP133" s="36">
        <f t="shared" si="169"/>
        <v>0</v>
      </c>
      <c r="AQ133" s="37" t="s">
        <v>11</v>
      </c>
      <c r="AV133" s="36">
        <f t="shared" si="170"/>
        <v>0</v>
      </c>
      <c r="AW133" s="36">
        <f t="shared" si="171"/>
        <v>0</v>
      </c>
      <c r="AX133" s="36">
        <f t="shared" si="172"/>
        <v>0</v>
      </c>
      <c r="AY133" s="39" t="s">
        <v>502</v>
      </c>
      <c r="AZ133" s="39" t="s">
        <v>511</v>
      </c>
      <c r="BA133" s="35" t="s">
        <v>520</v>
      </c>
      <c r="BC133" s="36">
        <f t="shared" si="173"/>
        <v>0</v>
      </c>
      <c r="BD133" s="36">
        <f t="shared" si="174"/>
        <v>0</v>
      </c>
      <c r="BE133" s="36">
        <v>0</v>
      </c>
      <c r="BF133" s="36">
        <f>133</f>
        <v>133</v>
      </c>
      <c r="BH133" s="26">
        <f t="shared" si="175"/>
        <v>0</v>
      </c>
      <c r="BI133" s="26">
        <f t="shared" si="176"/>
        <v>0</v>
      </c>
      <c r="BJ133" s="26">
        <f t="shared" si="177"/>
        <v>0</v>
      </c>
      <c r="BK133" s="26" t="s">
        <v>526</v>
      </c>
      <c r="BL133" s="36" t="s">
        <v>311</v>
      </c>
    </row>
    <row r="134" spans="1:64" ht="12.75">
      <c r="A134" s="5" t="s">
        <v>107</v>
      </c>
      <c r="B134" s="16" t="s">
        <v>207</v>
      </c>
      <c r="C134" s="16" t="s">
        <v>317</v>
      </c>
      <c r="D134" s="127" t="s">
        <v>444</v>
      </c>
      <c r="E134" s="128"/>
      <c r="F134" s="128"/>
      <c r="G134" s="128"/>
      <c r="H134" s="128"/>
      <c r="I134" s="16" t="s">
        <v>463</v>
      </c>
      <c r="J134" s="26">
        <v>9</v>
      </c>
      <c r="K134" s="26">
        <v>0</v>
      </c>
      <c r="L134" s="26">
        <f t="shared" si="154"/>
        <v>0</v>
      </c>
      <c r="M134" s="26">
        <f t="shared" si="155"/>
        <v>0</v>
      </c>
      <c r="N134" s="46">
        <f t="shared" si="156"/>
        <v>0</v>
      </c>
      <c r="O134" s="7"/>
      <c r="Z134" s="36">
        <f t="shared" si="157"/>
        <v>0</v>
      </c>
      <c r="AB134" s="36">
        <f t="shared" si="158"/>
        <v>0</v>
      </c>
      <c r="AC134" s="36">
        <f t="shared" si="159"/>
        <v>0</v>
      </c>
      <c r="AD134" s="36">
        <f t="shared" si="160"/>
        <v>0</v>
      </c>
      <c r="AE134" s="36">
        <f t="shared" si="161"/>
        <v>0</v>
      </c>
      <c r="AF134" s="36">
        <f t="shared" si="162"/>
        <v>0</v>
      </c>
      <c r="AG134" s="36">
        <f t="shared" si="163"/>
        <v>0</v>
      </c>
      <c r="AH134" s="36">
        <f t="shared" si="164"/>
        <v>0</v>
      </c>
      <c r="AI134" s="35" t="s">
        <v>207</v>
      </c>
      <c r="AJ134" s="26">
        <f t="shared" si="165"/>
        <v>0</v>
      </c>
      <c r="AK134" s="26">
        <f t="shared" si="166"/>
        <v>0</v>
      </c>
      <c r="AL134" s="26">
        <f t="shared" si="167"/>
        <v>0</v>
      </c>
      <c r="AN134" s="36">
        <v>21</v>
      </c>
      <c r="AO134" s="36">
        <f t="shared" si="168"/>
        <v>0</v>
      </c>
      <c r="AP134" s="36">
        <f t="shared" si="169"/>
        <v>0</v>
      </c>
      <c r="AQ134" s="37" t="s">
        <v>11</v>
      </c>
      <c r="AV134" s="36">
        <f t="shared" si="170"/>
        <v>0</v>
      </c>
      <c r="AW134" s="36">
        <f t="shared" si="171"/>
        <v>0</v>
      </c>
      <c r="AX134" s="36">
        <f t="shared" si="172"/>
        <v>0</v>
      </c>
      <c r="AY134" s="39" t="s">
        <v>502</v>
      </c>
      <c r="AZ134" s="39" t="s">
        <v>511</v>
      </c>
      <c r="BA134" s="35" t="s">
        <v>520</v>
      </c>
      <c r="BC134" s="36">
        <f t="shared" si="173"/>
        <v>0</v>
      </c>
      <c r="BD134" s="36">
        <f t="shared" si="174"/>
        <v>0</v>
      </c>
      <c r="BE134" s="36">
        <v>0</v>
      </c>
      <c r="BF134" s="36">
        <f>134</f>
        <v>134</v>
      </c>
      <c r="BH134" s="26">
        <f t="shared" si="175"/>
        <v>0</v>
      </c>
      <c r="BI134" s="26">
        <f t="shared" si="176"/>
        <v>0</v>
      </c>
      <c r="BJ134" s="26">
        <f t="shared" si="177"/>
        <v>0</v>
      </c>
      <c r="BK134" s="26" t="s">
        <v>526</v>
      </c>
      <c r="BL134" s="36" t="s">
        <v>311</v>
      </c>
    </row>
    <row r="135" spans="1:64" ht="12.75">
      <c r="A135" s="5" t="s">
        <v>108</v>
      </c>
      <c r="B135" s="16" t="s">
        <v>207</v>
      </c>
      <c r="C135" s="16" t="s">
        <v>318</v>
      </c>
      <c r="D135" s="127" t="s">
        <v>445</v>
      </c>
      <c r="E135" s="128"/>
      <c r="F135" s="128"/>
      <c r="G135" s="128"/>
      <c r="H135" s="128"/>
      <c r="I135" s="16" t="s">
        <v>463</v>
      </c>
      <c r="J135" s="26">
        <v>0.5</v>
      </c>
      <c r="K135" s="26">
        <v>0</v>
      </c>
      <c r="L135" s="26">
        <f t="shared" si="154"/>
        <v>0</v>
      </c>
      <c r="M135" s="26">
        <f t="shared" si="155"/>
        <v>0</v>
      </c>
      <c r="N135" s="46">
        <f t="shared" si="156"/>
        <v>0</v>
      </c>
      <c r="O135" s="7"/>
      <c r="Z135" s="36">
        <f t="shared" si="157"/>
        <v>0</v>
      </c>
      <c r="AB135" s="36">
        <f t="shared" si="158"/>
        <v>0</v>
      </c>
      <c r="AC135" s="36">
        <f t="shared" si="159"/>
        <v>0</v>
      </c>
      <c r="AD135" s="36">
        <f t="shared" si="160"/>
        <v>0</v>
      </c>
      <c r="AE135" s="36">
        <f t="shared" si="161"/>
        <v>0</v>
      </c>
      <c r="AF135" s="36">
        <f t="shared" si="162"/>
        <v>0</v>
      </c>
      <c r="AG135" s="36">
        <f t="shared" si="163"/>
        <v>0</v>
      </c>
      <c r="AH135" s="36">
        <f t="shared" si="164"/>
        <v>0</v>
      </c>
      <c r="AI135" s="35" t="s">
        <v>207</v>
      </c>
      <c r="AJ135" s="26">
        <f t="shared" si="165"/>
        <v>0</v>
      </c>
      <c r="AK135" s="26">
        <f t="shared" si="166"/>
        <v>0</v>
      </c>
      <c r="AL135" s="26">
        <f t="shared" si="167"/>
        <v>0</v>
      </c>
      <c r="AN135" s="36">
        <v>21</v>
      </c>
      <c r="AO135" s="36">
        <f t="shared" si="168"/>
        <v>0</v>
      </c>
      <c r="AP135" s="36">
        <f t="shared" si="169"/>
        <v>0</v>
      </c>
      <c r="AQ135" s="37" t="s">
        <v>11</v>
      </c>
      <c r="AV135" s="36">
        <f t="shared" si="170"/>
        <v>0</v>
      </c>
      <c r="AW135" s="36">
        <f t="shared" si="171"/>
        <v>0</v>
      </c>
      <c r="AX135" s="36">
        <f t="shared" si="172"/>
        <v>0</v>
      </c>
      <c r="AY135" s="39" t="s">
        <v>502</v>
      </c>
      <c r="AZ135" s="39" t="s">
        <v>511</v>
      </c>
      <c r="BA135" s="35" t="s">
        <v>520</v>
      </c>
      <c r="BC135" s="36">
        <f t="shared" si="173"/>
        <v>0</v>
      </c>
      <c r="BD135" s="36">
        <f t="shared" si="174"/>
        <v>0</v>
      </c>
      <c r="BE135" s="36">
        <v>0</v>
      </c>
      <c r="BF135" s="36">
        <f>135</f>
        <v>135</v>
      </c>
      <c r="BH135" s="26">
        <f t="shared" si="175"/>
        <v>0</v>
      </c>
      <c r="BI135" s="26">
        <f t="shared" si="176"/>
        <v>0</v>
      </c>
      <c r="BJ135" s="26">
        <f t="shared" si="177"/>
        <v>0</v>
      </c>
      <c r="BK135" s="26" t="s">
        <v>526</v>
      </c>
      <c r="BL135" s="36" t="s">
        <v>311</v>
      </c>
    </row>
    <row r="136" spans="1:64" ht="12.75">
      <c r="A136" s="5" t="s">
        <v>109</v>
      </c>
      <c r="B136" s="16" t="s">
        <v>207</v>
      </c>
      <c r="C136" s="16" t="s">
        <v>319</v>
      </c>
      <c r="D136" s="127" t="s">
        <v>446</v>
      </c>
      <c r="E136" s="128"/>
      <c r="F136" s="128"/>
      <c r="G136" s="128"/>
      <c r="H136" s="128"/>
      <c r="I136" s="16" t="s">
        <v>463</v>
      </c>
      <c r="J136" s="26">
        <v>0.5</v>
      </c>
      <c r="K136" s="26">
        <v>0</v>
      </c>
      <c r="L136" s="26">
        <f t="shared" si="154"/>
        <v>0</v>
      </c>
      <c r="M136" s="26">
        <f t="shared" si="155"/>
        <v>0</v>
      </c>
      <c r="N136" s="46">
        <f t="shared" si="156"/>
        <v>0</v>
      </c>
      <c r="O136" s="7"/>
      <c r="Z136" s="36">
        <f t="shared" si="157"/>
        <v>0</v>
      </c>
      <c r="AB136" s="36">
        <f t="shared" si="158"/>
        <v>0</v>
      </c>
      <c r="AC136" s="36">
        <f t="shared" si="159"/>
        <v>0</v>
      </c>
      <c r="AD136" s="36">
        <f t="shared" si="160"/>
        <v>0</v>
      </c>
      <c r="AE136" s="36">
        <f t="shared" si="161"/>
        <v>0</v>
      </c>
      <c r="AF136" s="36">
        <f t="shared" si="162"/>
        <v>0</v>
      </c>
      <c r="AG136" s="36">
        <f t="shared" si="163"/>
        <v>0</v>
      </c>
      <c r="AH136" s="36">
        <f t="shared" si="164"/>
        <v>0</v>
      </c>
      <c r="AI136" s="35" t="s">
        <v>207</v>
      </c>
      <c r="AJ136" s="26">
        <f t="shared" si="165"/>
        <v>0</v>
      </c>
      <c r="AK136" s="26">
        <f t="shared" si="166"/>
        <v>0</v>
      </c>
      <c r="AL136" s="26">
        <f t="shared" si="167"/>
        <v>0</v>
      </c>
      <c r="AN136" s="36">
        <v>21</v>
      </c>
      <c r="AO136" s="36">
        <f t="shared" si="168"/>
        <v>0</v>
      </c>
      <c r="AP136" s="36">
        <f t="shared" si="169"/>
        <v>0</v>
      </c>
      <c r="AQ136" s="37" t="s">
        <v>11</v>
      </c>
      <c r="AV136" s="36">
        <f t="shared" si="170"/>
        <v>0</v>
      </c>
      <c r="AW136" s="36">
        <f t="shared" si="171"/>
        <v>0</v>
      </c>
      <c r="AX136" s="36">
        <f t="shared" si="172"/>
        <v>0</v>
      </c>
      <c r="AY136" s="39" t="s">
        <v>502</v>
      </c>
      <c r="AZ136" s="39" t="s">
        <v>511</v>
      </c>
      <c r="BA136" s="35" t="s">
        <v>520</v>
      </c>
      <c r="BC136" s="36">
        <f t="shared" si="173"/>
        <v>0</v>
      </c>
      <c r="BD136" s="36">
        <f t="shared" si="174"/>
        <v>0</v>
      </c>
      <c r="BE136" s="36">
        <v>0</v>
      </c>
      <c r="BF136" s="36">
        <f>136</f>
        <v>136</v>
      </c>
      <c r="BH136" s="26">
        <f t="shared" si="175"/>
        <v>0</v>
      </c>
      <c r="BI136" s="26">
        <f t="shared" si="176"/>
        <v>0</v>
      </c>
      <c r="BJ136" s="26">
        <f t="shared" si="177"/>
        <v>0</v>
      </c>
      <c r="BK136" s="26" t="s">
        <v>526</v>
      </c>
      <c r="BL136" s="36" t="s">
        <v>311</v>
      </c>
    </row>
    <row r="137" spans="1:47" ht="12.75">
      <c r="A137" s="4"/>
      <c r="B137" s="15" t="s">
        <v>207</v>
      </c>
      <c r="C137" s="15" t="s">
        <v>320</v>
      </c>
      <c r="D137" s="129" t="s">
        <v>447</v>
      </c>
      <c r="E137" s="130"/>
      <c r="F137" s="130"/>
      <c r="G137" s="130"/>
      <c r="H137" s="130"/>
      <c r="I137" s="23" t="s">
        <v>6</v>
      </c>
      <c r="J137" s="23" t="s">
        <v>6</v>
      </c>
      <c r="K137" s="23" t="s">
        <v>6</v>
      </c>
      <c r="L137" s="42">
        <f>SUM(L138:L138)</f>
        <v>0</v>
      </c>
      <c r="M137" s="42">
        <f>SUM(M138:M138)</f>
        <v>0</v>
      </c>
      <c r="N137" s="45">
        <f>SUM(N138:N138)</f>
        <v>0</v>
      </c>
      <c r="O137" s="7"/>
      <c r="AI137" s="35" t="s">
        <v>207</v>
      </c>
      <c r="AS137" s="42">
        <f>SUM(AJ138:AJ138)</f>
        <v>0</v>
      </c>
      <c r="AT137" s="42">
        <f>SUM(AK138:AK138)</f>
        <v>0</v>
      </c>
      <c r="AU137" s="42">
        <f>SUM(AL138:AL138)</f>
        <v>0</v>
      </c>
    </row>
    <row r="138" spans="1:64" ht="12.75">
      <c r="A138" s="5" t="s">
        <v>110</v>
      </c>
      <c r="B138" s="16" t="s">
        <v>207</v>
      </c>
      <c r="C138" s="16" t="s">
        <v>321</v>
      </c>
      <c r="D138" s="127" t="s">
        <v>448</v>
      </c>
      <c r="E138" s="128"/>
      <c r="F138" s="128"/>
      <c r="G138" s="128"/>
      <c r="H138" s="128"/>
      <c r="I138" s="16" t="s">
        <v>463</v>
      </c>
      <c r="J138" s="26">
        <v>10</v>
      </c>
      <c r="K138" s="26">
        <v>0</v>
      </c>
      <c r="L138" s="26">
        <f>J138*AO138</f>
        <v>0</v>
      </c>
      <c r="M138" s="26">
        <f>J138*AP138</f>
        <v>0</v>
      </c>
      <c r="N138" s="46">
        <f>J138*K138</f>
        <v>0</v>
      </c>
      <c r="O138" s="7"/>
      <c r="Z138" s="36">
        <f>IF(AQ138="5",BJ138,0)</f>
        <v>0</v>
      </c>
      <c r="AB138" s="36">
        <f>IF(AQ138="1",BH138,0)</f>
        <v>0</v>
      </c>
      <c r="AC138" s="36">
        <f>IF(AQ138="1",BI138,0)</f>
        <v>0</v>
      </c>
      <c r="AD138" s="36">
        <f>IF(AQ138="7",BH138,0)</f>
        <v>0</v>
      </c>
      <c r="AE138" s="36">
        <f>IF(AQ138="7",BI138,0)</f>
        <v>0</v>
      </c>
      <c r="AF138" s="36">
        <f>IF(AQ138="2",BH138,0)</f>
        <v>0</v>
      </c>
      <c r="AG138" s="36">
        <f>IF(AQ138="2",BI138,0)</f>
        <v>0</v>
      </c>
      <c r="AH138" s="36">
        <f>IF(AQ138="0",BJ138,0)</f>
        <v>0</v>
      </c>
      <c r="AI138" s="35" t="s">
        <v>207</v>
      </c>
      <c r="AJ138" s="26">
        <f>IF(AN138=0,N138,0)</f>
        <v>0</v>
      </c>
      <c r="AK138" s="26">
        <f>IF(AN138=15,N138,0)</f>
        <v>0</v>
      </c>
      <c r="AL138" s="26">
        <f>IF(AN138=21,N138,0)</f>
        <v>0</v>
      </c>
      <c r="AN138" s="36">
        <v>21</v>
      </c>
      <c r="AO138" s="36">
        <f>K138*0</f>
        <v>0</v>
      </c>
      <c r="AP138" s="36">
        <f>K138*(1-0)</f>
        <v>0</v>
      </c>
      <c r="AQ138" s="37" t="s">
        <v>11</v>
      </c>
      <c r="AV138" s="36">
        <f>AW138+AX138</f>
        <v>0</v>
      </c>
      <c r="AW138" s="36">
        <f>J138*AO138</f>
        <v>0</v>
      </c>
      <c r="AX138" s="36">
        <f>J138*AP138</f>
        <v>0</v>
      </c>
      <c r="AY138" s="39" t="s">
        <v>503</v>
      </c>
      <c r="AZ138" s="39" t="s">
        <v>511</v>
      </c>
      <c r="BA138" s="35" t="s">
        <v>520</v>
      </c>
      <c r="BC138" s="36">
        <f>AW138+AX138</f>
        <v>0</v>
      </c>
      <c r="BD138" s="36">
        <f>K138/(100-BE138)*100</f>
        <v>0</v>
      </c>
      <c r="BE138" s="36">
        <v>0</v>
      </c>
      <c r="BF138" s="36">
        <f>138</f>
        <v>138</v>
      </c>
      <c r="BH138" s="26">
        <f>J138*AO138</f>
        <v>0</v>
      </c>
      <c r="BI138" s="26">
        <f>J138*AP138</f>
        <v>0</v>
      </c>
      <c r="BJ138" s="26">
        <f>J138*K138</f>
        <v>0</v>
      </c>
      <c r="BK138" s="26" t="s">
        <v>526</v>
      </c>
      <c r="BL138" s="36" t="s">
        <v>320</v>
      </c>
    </row>
    <row r="139" spans="1:15" ht="12.75">
      <c r="A139" s="8"/>
      <c r="B139" s="18" t="s">
        <v>208</v>
      </c>
      <c r="C139" s="18"/>
      <c r="D139" s="138" t="s">
        <v>449</v>
      </c>
      <c r="E139" s="139"/>
      <c r="F139" s="139"/>
      <c r="G139" s="139"/>
      <c r="H139" s="139"/>
      <c r="I139" s="24" t="s">
        <v>6</v>
      </c>
      <c r="J139" s="24" t="s">
        <v>6</v>
      </c>
      <c r="K139" s="24" t="s">
        <v>6</v>
      </c>
      <c r="L139" s="43">
        <f>L140+L149+L159+L163+L168+L179+L199+L206+L214+L225+L234+L236+L240+L242+L244+L253</f>
        <v>0</v>
      </c>
      <c r="M139" s="43">
        <f>M140+M149+M159+M163+M168+M179+M199+M206+M214+M225+M234+M236+M240+M242+M244+M253</f>
        <v>0</v>
      </c>
      <c r="N139" s="48">
        <f>N140+N149+N159+N163+N168+N179+N199+N206+N214+N225+N234+N236+N240+N242+N244+N253</f>
        <v>0</v>
      </c>
      <c r="O139" s="7"/>
    </row>
    <row r="140" spans="1:47" ht="12.75">
      <c r="A140" s="4"/>
      <c r="B140" s="15" t="s">
        <v>208</v>
      </c>
      <c r="C140" s="15" t="s">
        <v>210</v>
      </c>
      <c r="D140" s="129" t="s">
        <v>328</v>
      </c>
      <c r="E140" s="130"/>
      <c r="F140" s="130"/>
      <c r="G140" s="130"/>
      <c r="H140" s="130"/>
      <c r="I140" s="23" t="s">
        <v>6</v>
      </c>
      <c r="J140" s="23" t="s">
        <v>6</v>
      </c>
      <c r="K140" s="23" t="s">
        <v>6</v>
      </c>
      <c r="L140" s="42">
        <f>SUM(L141:L148)</f>
        <v>0</v>
      </c>
      <c r="M140" s="42">
        <f>SUM(M141:M148)</f>
        <v>0</v>
      </c>
      <c r="N140" s="45">
        <f>SUM(N141:N148)</f>
        <v>0</v>
      </c>
      <c r="O140" s="7"/>
      <c r="AI140" s="35" t="s">
        <v>208</v>
      </c>
      <c r="AS140" s="42">
        <f>SUM(AJ141:AJ148)</f>
        <v>0</v>
      </c>
      <c r="AT140" s="42">
        <f>SUM(AK141:AK148)</f>
        <v>0</v>
      </c>
      <c r="AU140" s="42">
        <f>SUM(AL141:AL148)</f>
        <v>0</v>
      </c>
    </row>
    <row r="141" spans="1:64" ht="12.75">
      <c r="A141" s="5" t="s">
        <v>111</v>
      </c>
      <c r="B141" s="16" t="s">
        <v>208</v>
      </c>
      <c r="C141" s="16" t="s">
        <v>211</v>
      </c>
      <c r="D141" s="127" t="s">
        <v>329</v>
      </c>
      <c r="E141" s="128"/>
      <c r="F141" s="128"/>
      <c r="G141" s="128"/>
      <c r="H141" s="128"/>
      <c r="I141" s="16" t="s">
        <v>460</v>
      </c>
      <c r="J141" s="26">
        <v>88.89</v>
      </c>
      <c r="K141" s="26">
        <v>0</v>
      </c>
      <c r="L141" s="26">
        <f>J141*AO141</f>
        <v>0</v>
      </c>
      <c r="M141" s="26">
        <f>J141*AP141</f>
        <v>0</v>
      </c>
      <c r="N141" s="46">
        <f>J141*K141</f>
        <v>0</v>
      </c>
      <c r="O141" s="7"/>
      <c r="Z141" s="36">
        <f>IF(AQ141="5",BJ141,0)</f>
        <v>0</v>
      </c>
      <c r="AB141" s="36">
        <f>IF(AQ141="1",BH141,0)</f>
        <v>0</v>
      </c>
      <c r="AC141" s="36">
        <f>IF(AQ141="1",BI141,0)</f>
        <v>0</v>
      </c>
      <c r="AD141" s="36">
        <f>IF(AQ141="7",BH141,0)</f>
        <v>0</v>
      </c>
      <c r="AE141" s="36">
        <f>IF(AQ141="7",BI141,0)</f>
        <v>0</v>
      </c>
      <c r="AF141" s="36">
        <f>IF(AQ141="2",BH141,0)</f>
        <v>0</v>
      </c>
      <c r="AG141" s="36">
        <f>IF(AQ141="2",BI141,0)</f>
        <v>0</v>
      </c>
      <c r="AH141" s="36">
        <f>IF(AQ141="0",BJ141,0)</f>
        <v>0</v>
      </c>
      <c r="AI141" s="35" t="s">
        <v>208</v>
      </c>
      <c r="AJ141" s="26">
        <f>IF(AN141=0,N141,0)</f>
        <v>0</v>
      </c>
      <c r="AK141" s="26">
        <f>IF(AN141=15,N141,0)</f>
        <v>0</v>
      </c>
      <c r="AL141" s="26">
        <f>IF(AN141=21,N141,0)</f>
        <v>0</v>
      </c>
      <c r="AN141" s="36">
        <v>21</v>
      </c>
      <c r="AO141" s="36">
        <f>K141*0</f>
        <v>0</v>
      </c>
      <c r="AP141" s="36">
        <f>K141*(1-0)</f>
        <v>0</v>
      </c>
      <c r="AQ141" s="37" t="s">
        <v>13</v>
      </c>
      <c r="AV141" s="36">
        <f>AW141+AX141</f>
        <v>0</v>
      </c>
      <c r="AW141" s="36">
        <f>J141*AO141</f>
        <v>0</v>
      </c>
      <c r="AX141" s="36">
        <f>J141*AP141</f>
        <v>0</v>
      </c>
      <c r="AY141" s="39" t="s">
        <v>488</v>
      </c>
      <c r="AZ141" s="39" t="s">
        <v>512</v>
      </c>
      <c r="BA141" s="35" t="s">
        <v>521</v>
      </c>
      <c r="BC141" s="36">
        <f>AW141+AX141</f>
        <v>0</v>
      </c>
      <c r="BD141" s="36">
        <f>K141/(100-BE141)*100</f>
        <v>0</v>
      </c>
      <c r="BE141" s="36">
        <v>0</v>
      </c>
      <c r="BF141" s="36">
        <f>141</f>
        <v>141</v>
      </c>
      <c r="BH141" s="26">
        <f>J141*AO141</f>
        <v>0</v>
      </c>
      <c r="BI141" s="26">
        <f>J141*AP141</f>
        <v>0</v>
      </c>
      <c r="BJ141" s="26">
        <f>J141*K141</f>
        <v>0</v>
      </c>
      <c r="BK141" s="26" t="s">
        <v>526</v>
      </c>
      <c r="BL141" s="36">
        <v>781</v>
      </c>
    </row>
    <row r="142" spans="1:64" ht="12.75">
      <c r="A142" s="5" t="s">
        <v>112</v>
      </c>
      <c r="B142" s="16" t="s">
        <v>208</v>
      </c>
      <c r="C142" s="16" t="s">
        <v>212</v>
      </c>
      <c r="D142" s="127" t="s">
        <v>330</v>
      </c>
      <c r="E142" s="128"/>
      <c r="F142" s="128"/>
      <c r="G142" s="128"/>
      <c r="H142" s="128"/>
      <c r="I142" s="16" t="s">
        <v>460</v>
      </c>
      <c r="J142" s="26">
        <v>88.89</v>
      </c>
      <c r="K142" s="26">
        <v>0</v>
      </c>
      <c r="L142" s="26">
        <f>J142*AO142</f>
        <v>0</v>
      </c>
      <c r="M142" s="26">
        <f>J142*AP142</f>
        <v>0</v>
      </c>
      <c r="N142" s="46">
        <f>J142*K142</f>
        <v>0</v>
      </c>
      <c r="O142" s="7"/>
      <c r="Z142" s="36">
        <f>IF(AQ142="5",BJ142,0)</f>
        <v>0</v>
      </c>
      <c r="AB142" s="36">
        <f>IF(AQ142="1",BH142,0)</f>
        <v>0</v>
      </c>
      <c r="AC142" s="36">
        <f>IF(AQ142="1",BI142,0)</f>
        <v>0</v>
      </c>
      <c r="AD142" s="36">
        <f>IF(AQ142="7",BH142,0)</f>
        <v>0</v>
      </c>
      <c r="AE142" s="36">
        <f>IF(AQ142="7",BI142,0)</f>
        <v>0</v>
      </c>
      <c r="AF142" s="36">
        <f>IF(AQ142="2",BH142,0)</f>
        <v>0</v>
      </c>
      <c r="AG142" s="36">
        <f>IF(AQ142="2",BI142,0)</f>
        <v>0</v>
      </c>
      <c r="AH142" s="36">
        <f>IF(AQ142="0",BJ142,0)</f>
        <v>0</v>
      </c>
      <c r="AI142" s="35" t="s">
        <v>208</v>
      </c>
      <c r="AJ142" s="26">
        <f>IF(AN142=0,N142,0)</f>
        <v>0</v>
      </c>
      <c r="AK142" s="26">
        <f>IF(AN142=15,N142,0)</f>
        <v>0</v>
      </c>
      <c r="AL142" s="26">
        <f>IF(AN142=21,N142,0)</f>
        <v>0</v>
      </c>
      <c r="AN142" s="36">
        <v>21</v>
      </c>
      <c r="AO142" s="36">
        <f>K142*0.187249801922795</f>
        <v>0</v>
      </c>
      <c r="AP142" s="36">
        <f>K142*(1-0.187249801922795)</f>
        <v>0</v>
      </c>
      <c r="AQ142" s="37" t="s">
        <v>13</v>
      </c>
      <c r="AV142" s="36">
        <f>AW142+AX142</f>
        <v>0</v>
      </c>
      <c r="AW142" s="36">
        <f>J142*AO142</f>
        <v>0</v>
      </c>
      <c r="AX142" s="36">
        <f>J142*AP142</f>
        <v>0</v>
      </c>
      <c r="AY142" s="39" t="s">
        <v>488</v>
      </c>
      <c r="AZ142" s="39" t="s">
        <v>512</v>
      </c>
      <c r="BA142" s="35" t="s">
        <v>521</v>
      </c>
      <c r="BC142" s="36">
        <f>AW142+AX142</f>
        <v>0</v>
      </c>
      <c r="BD142" s="36">
        <f>K142/(100-BE142)*100</f>
        <v>0</v>
      </c>
      <c r="BE142" s="36">
        <v>0</v>
      </c>
      <c r="BF142" s="36">
        <f>142</f>
        <v>142</v>
      </c>
      <c r="BH142" s="26">
        <f>J142*AO142</f>
        <v>0</v>
      </c>
      <c r="BI142" s="26">
        <f>J142*AP142</f>
        <v>0</v>
      </c>
      <c r="BJ142" s="26">
        <f>J142*K142</f>
        <v>0</v>
      </c>
      <c r="BK142" s="26" t="s">
        <v>526</v>
      </c>
      <c r="BL142" s="36">
        <v>781</v>
      </c>
    </row>
    <row r="143" spans="1:64" ht="12.75">
      <c r="A143" s="6" t="s">
        <v>113</v>
      </c>
      <c r="B143" s="17" t="s">
        <v>208</v>
      </c>
      <c r="C143" s="17" t="s">
        <v>213</v>
      </c>
      <c r="D143" s="133" t="s">
        <v>331</v>
      </c>
      <c r="E143" s="134"/>
      <c r="F143" s="134"/>
      <c r="G143" s="134"/>
      <c r="H143" s="134"/>
      <c r="I143" s="17" t="s">
        <v>460</v>
      </c>
      <c r="J143" s="27">
        <v>97.779</v>
      </c>
      <c r="K143" s="27">
        <v>0</v>
      </c>
      <c r="L143" s="27">
        <f>J143*AO143</f>
        <v>0</v>
      </c>
      <c r="M143" s="27">
        <f>J143*AP143</f>
        <v>0</v>
      </c>
      <c r="N143" s="47">
        <f>J143*K143</f>
        <v>0</v>
      </c>
      <c r="O143" s="7"/>
      <c r="Z143" s="36">
        <f>IF(AQ143="5",BJ143,0)</f>
        <v>0</v>
      </c>
      <c r="AB143" s="36">
        <f>IF(AQ143="1",BH143,0)</f>
        <v>0</v>
      </c>
      <c r="AC143" s="36">
        <f>IF(AQ143="1",BI143,0)</f>
        <v>0</v>
      </c>
      <c r="AD143" s="36">
        <f>IF(AQ143="7",BH143,0)</f>
        <v>0</v>
      </c>
      <c r="AE143" s="36">
        <f>IF(AQ143="7",BI143,0)</f>
        <v>0</v>
      </c>
      <c r="AF143" s="36">
        <f>IF(AQ143="2",BH143,0)</f>
        <v>0</v>
      </c>
      <c r="AG143" s="36">
        <f>IF(AQ143="2",BI143,0)</f>
        <v>0</v>
      </c>
      <c r="AH143" s="36">
        <f>IF(AQ143="0",BJ143,0)</f>
        <v>0</v>
      </c>
      <c r="AI143" s="35" t="s">
        <v>208</v>
      </c>
      <c r="AJ143" s="27">
        <f>IF(AN143=0,N143,0)</f>
        <v>0</v>
      </c>
      <c r="AK143" s="27">
        <f>IF(AN143=15,N143,0)</f>
        <v>0</v>
      </c>
      <c r="AL143" s="27">
        <f>IF(AN143=21,N143,0)</f>
        <v>0</v>
      </c>
      <c r="AN143" s="36">
        <v>21</v>
      </c>
      <c r="AO143" s="36">
        <f>K143*1</f>
        <v>0</v>
      </c>
      <c r="AP143" s="36">
        <f>K143*(1-1)</f>
        <v>0</v>
      </c>
      <c r="AQ143" s="38" t="s">
        <v>13</v>
      </c>
      <c r="AV143" s="36">
        <f>AW143+AX143</f>
        <v>0</v>
      </c>
      <c r="AW143" s="36">
        <f>J143*AO143</f>
        <v>0</v>
      </c>
      <c r="AX143" s="36">
        <f>J143*AP143</f>
        <v>0</v>
      </c>
      <c r="AY143" s="39" t="s">
        <v>488</v>
      </c>
      <c r="AZ143" s="39" t="s">
        <v>512</v>
      </c>
      <c r="BA143" s="35" t="s">
        <v>521</v>
      </c>
      <c r="BC143" s="36">
        <f>AW143+AX143</f>
        <v>0</v>
      </c>
      <c r="BD143" s="36">
        <f>K143/(100-BE143)*100</f>
        <v>0</v>
      </c>
      <c r="BE143" s="36">
        <v>0</v>
      </c>
      <c r="BF143" s="36">
        <f>143</f>
        <v>143</v>
      </c>
      <c r="BH143" s="27">
        <f>J143*AO143</f>
        <v>0</v>
      </c>
      <c r="BI143" s="27">
        <f>J143*AP143</f>
        <v>0</v>
      </c>
      <c r="BJ143" s="27">
        <f>J143*K143</f>
        <v>0</v>
      </c>
      <c r="BK143" s="27" t="s">
        <v>527</v>
      </c>
      <c r="BL143" s="36">
        <v>781</v>
      </c>
    </row>
    <row r="144" spans="1:15" ht="12.75">
      <c r="A144" s="7"/>
      <c r="C144" s="20" t="s">
        <v>205</v>
      </c>
      <c r="D144" s="135" t="s">
        <v>332</v>
      </c>
      <c r="E144" s="136"/>
      <c r="F144" s="136"/>
      <c r="G144" s="136"/>
      <c r="H144" s="136"/>
      <c r="I144" s="136"/>
      <c r="J144" s="136"/>
      <c r="K144" s="136"/>
      <c r="L144" s="136"/>
      <c r="M144" s="136"/>
      <c r="N144" s="137"/>
      <c r="O144" s="7"/>
    </row>
    <row r="145" spans="1:64" ht="12.75">
      <c r="A145" s="5" t="s">
        <v>114</v>
      </c>
      <c r="B145" s="16" t="s">
        <v>208</v>
      </c>
      <c r="C145" s="16" t="s">
        <v>214</v>
      </c>
      <c r="D145" s="127" t="s">
        <v>333</v>
      </c>
      <c r="E145" s="128"/>
      <c r="F145" s="128"/>
      <c r="G145" s="128"/>
      <c r="H145" s="128"/>
      <c r="I145" s="16" t="s">
        <v>461</v>
      </c>
      <c r="J145" s="26">
        <v>27.25</v>
      </c>
      <c r="K145" s="26">
        <v>0</v>
      </c>
      <c r="L145" s="26">
        <f>J145*AO145</f>
        <v>0</v>
      </c>
      <c r="M145" s="26">
        <f>J145*AP145</f>
        <v>0</v>
      </c>
      <c r="N145" s="46">
        <f>J145*K145</f>
        <v>0</v>
      </c>
      <c r="O145" s="7"/>
      <c r="Z145" s="36">
        <f>IF(AQ145="5",BJ145,0)</f>
        <v>0</v>
      </c>
      <c r="AB145" s="36">
        <f>IF(AQ145="1",BH145,0)</f>
        <v>0</v>
      </c>
      <c r="AC145" s="36">
        <f>IF(AQ145="1",BI145,0)</f>
        <v>0</v>
      </c>
      <c r="AD145" s="36">
        <f>IF(AQ145="7",BH145,0)</f>
        <v>0</v>
      </c>
      <c r="AE145" s="36">
        <f>IF(AQ145="7",BI145,0)</f>
        <v>0</v>
      </c>
      <c r="AF145" s="36">
        <f>IF(AQ145="2",BH145,0)</f>
        <v>0</v>
      </c>
      <c r="AG145" s="36">
        <f>IF(AQ145="2",BI145,0)</f>
        <v>0</v>
      </c>
      <c r="AH145" s="36">
        <f>IF(AQ145="0",BJ145,0)</f>
        <v>0</v>
      </c>
      <c r="AI145" s="35" t="s">
        <v>208</v>
      </c>
      <c r="AJ145" s="26">
        <f>IF(AN145=0,N145,0)</f>
        <v>0</v>
      </c>
      <c r="AK145" s="26">
        <f>IF(AN145=15,N145,0)</f>
        <v>0</v>
      </c>
      <c r="AL145" s="26">
        <f>IF(AN145=21,N145,0)</f>
        <v>0</v>
      </c>
      <c r="AN145" s="36">
        <v>21</v>
      </c>
      <c r="AO145" s="36">
        <f>K145*0.745836734693878</f>
        <v>0</v>
      </c>
      <c r="AP145" s="36">
        <f>K145*(1-0.745836734693878)</f>
        <v>0</v>
      </c>
      <c r="AQ145" s="37" t="s">
        <v>13</v>
      </c>
      <c r="AV145" s="36">
        <f>AW145+AX145</f>
        <v>0</v>
      </c>
      <c r="AW145" s="36">
        <f>J145*AO145</f>
        <v>0</v>
      </c>
      <c r="AX145" s="36">
        <f>J145*AP145</f>
        <v>0</v>
      </c>
      <c r="AY145" s="39" t="s">
        <v>488</v>
      </c>
      <c r="AZ145" s="39" t="s">
        <v>512</v>
      </c>
      <c r="BA145" s="35" t="s">
        <v>521</v>
      </c>
      <c r="BC145" s="36">
        <f>AW145+AX145</f>
        <v>0</v>
      </c>
      <c r="BD145" s="36">
        <f>K145/(100-BE145)*100</f>
        <v>0</v>
      </c>
      <c r="BE145" s="36">
        <v>0</v>
      </c>
      <c r="BF145" s="36">
        <f>145</f>
        <v>145</v>
      </c>
      <c r="BH145" s="26">
        <f>J145*AO145</f>
        <v>0</v>
      </c>
      <c r="BI145" s="26">
        <f>J145*AP145</f>
        <v>0</v>
      </c>
      <c r="BJ145" s="26">
        <f>J145*K145</f>
        <v>0</v>
      </c>
      <c r="BK145" s="26" t="s">
        <v>526</v>
      </c>
      <c r="BL145" s="36">
        <v>781</v>
      </c>
    </row>
    <row r="146" spans="1:64" ht="12.75">
      <c r="A146" s="5" t="s">
        <v>115</v>
      </c>
      <c r="B146" s="16" t="s">
        <v>208</v>
      </c>
      <c r="C146" s="16" t="s">
        <v>215</v>
      </c>
      <c r="D146" s="127" t="s">
        <v>334</v>
      </c>
      <c r="E146" s="128"/>
      <c r="F146" s="128"/>
      <c r="G146" s="128"/>
      <c r="H146" s="128"/>
      <c r="I146" s="16" t="s">
        <v>460</v>
      </c>
      <c r="J146" s="26">
        <v>88.89</v>
      </c>
      <c r="K146" s="26">
        <v>0</v>
      </c>
      <c r="L146" s="26">
        <f>J146*AO146</f>
        <v>0</v>
      </c>
      <c r="M146" s="26">
        <f>J146*AP146</f>
        <v>0</v>
      </c>
      <c r="N146" s="46">
        <f>J146*K146</f>
        <v>0</v>
      </c>
      <c r="O146" s="7"/>
      <c r="Z146" s="36">
        <f>IF(AQ146="5",BJ146,0)</f>
        <v>0</v>
      </c>
      <c r="AB146" s="36">
        <f>IF(AQ146="1",BH146,0)</f>
        <v>0</v>
      </c>
      <c r="AC146" s="36">
        <f>IF(AQ146="1",BI146,0)</f>
        <v>0</v>
      </c>
      <c r="AD146" s="36">
        <f>IF(AQ146="7",BH146,0)</f>
        <v>0</v>
      </c>
      <c r="AE146" s="36">
        <f>IF(AQ146="7",BI146,0)</f>
        <v>0</v>
      </c>
      <c r="AF146" s="36">
        <f>IF(AQ146="2",BH146,0)</f>
        <v>0</v>
      </c>
      <c r="AG146" s="36">
        <f>IF(AQ146="2",BI146,0)</f>
        <v>0</v>
      </c>
      <c r="AH146" s="36">
        <f>IF(AQ146="0",BJ146,0)</f>
        <v>0</v>
      </c>
      <c r="AI146" s="35" t="s">
        <v>208</v>
      </c>
      <c r="AJ146" s="26">
        <f>IF(AN146=0,N146,0)</f>
        <v>0</v>
      </c>
      <c r="AK146" s="26">
        <f>IF(AN146=15,N146,0)</f>
        <v>0</v>
      </c>
      <c r="AL146" s="26">
        <f>IF(AN146=21,N146,0)</f>
        <v>0</v>
      </c>
      <c r="AN146" s="36">
        <v>21</v>
      </c>
      <c r="AO146" s="36">
        <f>K146*0.506654425839623</f>
        <v>0</v>
      </c>
      <c r="AP146" s="36">
        <f>K146*(1-0.506654425839623)</f>
        <v>0</v>
      </c>
      <c r="AQ146" s="37" t="s">
        <v>13</v>
      </c>
      <c r="AV146" s="36">
        <f>AW146+AX146</f>
        <v>0</v>
      </c>
      <c r="AW146" s="36">
        <f>J146*AO146</f>
        <v>0</v>
      </c>
      <c r="AX146" s="36">
        <f>J146*AP146</f>
        <v>0</v>
      </c>
      <c r="AY146" s="39" t="s">
        <v>488</v>
      </c>
      <c r="AZ146" s="39" t="s">
        <v>512</v>
      </c>
      <c r="BA146" s="35" t="s">
        <v>521</v>
      </c>
      <c r="BC146" s="36">
        <f>AW146+AX146</f>
        <v>0</v>
      </c>
      <c r="BD146" s="36">
        <f>K146/(100-BE146)*100</f>
        <v>0</v>
      </c>
      <c r="BE146" s="36">
        <v>0</v>
      </c>
      <c r="BF146" s="36">
        <f>146</f>
        <v>146</v>
      </c>
      <c r="BH146" s="26">
        <f>J146*AO146</f>
        <v>0</v>
      </c>
      <c r="BI146" s="26">
        <f>J146*AP146</f>
        <v>0</v>
      </c>
      <c r="BJ146" s="26">
        <f>J146*K146</f>
        <v>0</v>
      </c>
      <c r="BK146" s="26" t="s">
        <v>526</v>
      </c>
      <c r="BL146" s="36">
        <v>781</v>
      </c>
    </row>
    <row r="147" spans="1:64" ht="12.75">
      <c r="A147" s="5" t="s">
        <v>116</v>
      </c>
      <c r="B147" s="16" t="s">
        <v>208</v>
      </c>
      <c r="C147" s="16" t="s">
        <v>216</v>
      </c>
      <c r="D147" s="127" t="s">
        <v>335</v>
      </c>
      <c r="E147" s="128"/>
      <c r="F147" s="128"/>
      <c r="G147" s="128"/>
      <c r="H147" s="128"/>
      <c r="I147" s="16" t="s">
        <v>462</v>
      </c>
      <c r="J147" s="26">
        <v>21</v>
      </c>
      <c r="K147" s="26">
        <v>0</v>
      </c>
      <c r="L147" s="26">
        <f>J147*AO147</f>
        <v>0</v>
      </c>
      <c r="M147" s="26">
        <f>J147*AP147</f>
        <v>0</v>
      </c>
      <c r="N147" s="46">
        <f>J147*K147</f>
        <v>0</v>
      </c>
      <c r="O147" s="7"/>
      <c r="Z147" s="36">
        <f>IF(AQ147="5",BJ147,0)</f>
        <v>0</v>
      </c>
      <c r="AB147" s="36">
        <f>IF(AQ147="1",BH147,0)</f>
        <v>0</v>
      </c>
      <c r="AC147" s="36">
        <f>IF(AQ147="1",BI147,0)</f>
        <v>0</v>
      </c>
      <c r="AD147" s="36">
        <f>IF(AQ147="7",BH147,0)</f>
        <v>0</v>
      </c>
      <c r="AE147" s="36">
        <f>IF(AQ147="7",BI147,0)</f>
        <v>0</v>
      </c>
      <c r="AF147" s="36">
        <f>IF(AQ147="2",BH147,0)</f>
        <v>0</v>
      </c>
      <c r="AG147" s="36">
        <f>IF(AQ147="2",BI147,0)</f>
        <v>0</v>
      </c>
      <c r="AH147" s="36">
        <f>IF(AQ147="0",BJ147,0)</f>
        <v>0</v>
      </c>
      <c r="AI147" s="35" t="s">
        <v>208</v>
      </c>
      <c r="AJ147" s="26">
        <f>IF(AN147=0,N147,0)</f>
        <v>0</v>
      </c>
      <c r="AK147" s="26">
        <f>IF(AN147=15,N147,0)</f>
        <v>0</v>
      </c>
      <c r="AL147" s="26">
        <f>IF(AN147=21,N147,0)</f>
        <v>0</v>
      </c>
      <c r="AN147" s="36">
        <v>21</v>
      </c>
      <c r="AO147" s="36">
        <f>K147*0.0627257799671593</f>
        <v>0</v>
      </c>
      <c r="AP147" s="36">
        <f>K147*(1-0.0627257799671593)</f>
        <v>0</v>
      </c>
      <c r="AQ147" s="37" t="s">
        <v>13</v>
      </c>
      <c r="AV147" s="36">
        <f>AW147+AX147</f>
        <v>0</v>
      </c>
      <c r="AW147" s="36">
        <f>J147*AO147</f>
        <v>0</v>
      </c>
      <c r="AX147" s="36">
        <f>J147*AP147</f>
        <v>0</v>
      </c>
      <c r="AY147" s="39" t="s">
        <v>488</v>
      </c>
      <c r="AZ147" s="39" t="s">
        <v>512</v>
      </c>
      <c r="BA147" s="35" t="s">
        <v>521</v>
      </c>
      <c r="BC147" s="36">
        <f>AW147+AX147</f>
        <v>0</v>
      </c>
      <c r="BD147" s="36">
        <f>K147/(100-BE147)*100</f>
        <v>0</v>
      </c>
      <c r="BE147" s="36">
        <v>0</v>
      </c>
      <c r="BF147" s="36">
        <f>147</f>
        <v>147</v>
      </c>
      <c r="BH147" s="26">
        <f>J147*AO147</f>
        <v>0</v>
      </c>
      <c r="BI147" s="26">
        <f>J147*AP147</f>
        <v>0</v>
      </c>
      <c r="BJ147" s="26">
        <f>J147*K147</f>
        <v>0</v>
      </c>
      <c r="BK147" s="26" t="s">
        <v>526</v>
      </c>
      <c r="BL147" s="36">
        <v>781</v>
      </c>
    </row>
    <row r="148" spans="1:64" ht="12.75">
      <c r="A148" s="5" t="s">
        <v>117</v>
      </c>
      <c r="B148" s="16" t="s">
        <v>208</v>
      </c>
      <c r="C148" s="16" t="s">
        <v>217</v>
      </c>
      <c r="D148" s="127" t="s">
        <v>336</v>
      </c>
      <c r="E148" s="128"/>
      <c r="F148" s="128"/>
      <c r="G148" s="128"/>
      <c r="H148" s="128"/>
      <c r="I148" s="16" t="s">
        <v>463</v>
      </c>
      <c r="J148" s="26">
        <v>2.7</v>
      </c>
      <c r="K148" s="26">
        <v>0</v>
      </c>
      <c r="L148" s="26">
        <f>J148*AO148</f>
        <v>0</v>
      </c>
      <c r="M148" s="26">
        <f>J148*AP148</f>
        <v>0</v>
      </c>
      <c r="N148" s="46">
        <f>J148*K148</f>
        <v>0</v>
      </c>
      <c r="O148" s="7"/>
      <c r="Z148" s="36">
        <f>IF(AQ148="5",BJ148,0)</f>
        <v>0</v>
      </c>
      <c r="AB148" s="36">
        <f>IF(AQ148="1",BH148,0)</f>
        <v>0</v>
      </c>
      <c r="AC148" s="36">
        <f>IF(AQ148="1",BI148,0)</f>
        <v>0</v>
      </c>
      <c r="AD148" s="36">
        <f>IF(AQ148="7",BH148,0)</f>
        <v>0</v>
      </c>
      <c r="AE148" s="36">
        <f>IF(AQ148="7",BI148,0)</f>
        <v>0</v>
      </c>
      <c r="AF148" s="36">
        <f>IF(AQ148="2",BH148,0)</f>
        <v>0</v>
      </c>
      <c r="AG148" s="36">
        <f>IF(AQ148="2",BI148,0)</f>
        <v>0</v>
      </c>
      <c r="AH148" s="36">
        <f>IF(AQ148="0",BJ148,0)</f>
        <v>0</v>
      </c>
      <c r="AI148" s="35" t="s">
        <v>208</v>
      </c>
      <c r="AJ148" s="26">
        <f>IF(AN148=0,N148,0)</f>
        <v>0</v>
      </c>
      <c r="AK148" s="26">
        <f>IF(AN148=15,N148,0)</f>
        <v>0</v>
      </c>
      <c r="AL148" s="26">
        <f>IF(AN148=21,N148,0)</f>
        <v>0</v>
      </c>
      <c r="AN148" s="36">
        <v>21</v>
      </c>
      <c r="AO148" s="36">
        <f>K148*0</f>
        <v>0</v>
      </c>
      <c r="AP148" s="36">
        <f>K148*(1-0)</f>
        <v>0</v>
      </c>
      <c r="AQ148" s="37" t="s">
        <v>11</v>
      </c>
      <c r="AV148" s="36">
        <f>AW148+AX148</f>
        <v>0</v>
      </c>
      <c r="AW148" s="36">
        <f>J148*AO148</f>
        <v>0</v>
      </c>
      <c r="AX148" s="36">
        <f>J148*AP148</f>
        <v>0</v>
      </c>
      <c r="AY148" s="39" t="s">
        <v>488</v>
      </c>
      <c r="AZ148" s="39" t="s">
        <v>512</v>
      </c>
      <c r="BA148" s="35" t="s">
        <v>521</v>
      </c>
      <c r="BC148" s="36">
        <f>AW148+AX148</f>
        <v>0</v>
      </c>
      <c r="BD148" s="36">
        <f>K148/(100-BE148)*100</f>
        <v>0</v>
      </c>
      <c r="BE148" s="36">
        <v>0</v>
      </c>
      <c r="BF148" s="36">
        <f>148</f>
        <v>148</v>
      </c>
      <c r="BH148" s="26">
        <f>J148*AO148</f>
        <v>0</v>
      </c>
      <c r="BI148" s="26">
        <f>J148*AP148</f>
        <v>0</v>
      </c>
      <c r="BJ148" s="26">
        <f>J148*K148</f>
        <v>0</v>
      </c>
      <c r="BK148" s="26" t="s">
        <v>526</v>
      </c>
      <c r="BL148" s="36">
        <v>781</v>
      </c>
    </row>
    <row r="149" spans="1:47" ht="12.75">
      <c r="A149" s="4"/>
      <c r="B149" s="15" t="s">
        <v>208</v>
      </c>
      <c r="C149" s="15" t="s">
        <v>218</v>
      </c>
      <c r="D149" s="129" t="s">
        <v>337</v>
      </c>
      <c r="E149" s="130"/>
      <c r="F149" s="130"/>
      <c r="G149" s="130"/>
      <c r="H149" s="130"/>
      <c r="I149" s="23" t="s">
        <v>6</v>
      </c>
      <c r="J149" s="23" t="s">
        <v>6</v>
      </c>
      <c r="K149" s="23" t="s">
        <v>6</v>
      </c>
      <c r="L149" s="42">
        <f>SUM(L150:L158)</f>
        <v>0</v>
      </c>
      <c r="M149" s="42">
        <f>SUM(M150:M158)</f>
        <v>0</v>
      </c>
      <c r="N149" s="45">
        <f>SUM(N150:N158)</f>
        <v>0</v>
      </c>
      <c r="O149" s="7"/>
      <c r="AI149" s="35" t="s">
        <v>208</v>
      </c>
      <c r="AS149" s="42">
        <f>SUM(AJ150:AJ158)</f>
        <v>0</v>
      </c>
      <c r="AT149" s="42">
        <f>SUM(AK150:AK158)</f>
        <v>0</v>
      </c>
      <c r="AU149" s="42">
        <f>SUM(AL150:AL158)</f>
        <v>0</v>
      </c>
    </row>
    <row r="150" spans="1:64" ht="12.75">
      <c r="A150" s="5" t="s">
        <v>118</v>
      </c>
      <c r="B150" s="16" t="s">
        <v>208</v>
      </c>
      <c r="C150" s="16" t="s">
        <v>219</v>
      </c>
      <c r="D150" s="127" t="s">
        <v>338</v>
      </c>
      <c r="E150" s="128"/>
      <c r="F150" s="128"/>
      <c r="G150" s="128"/>
      <c r="H150" s="128"/>
      <c r="I150" s="16" t="s">
        <v>460</v>
      </c>
      <c r="J150" s="26">
        <v>20.31</v>
      </c>
      <c r="K150" s="26">
        <v>0</v>
      </c>
      <c r="L150" s="26">
        <f aca="true" t="shared" si="178" ref="L150:L155">J150*AO150</f>
        <v>0</v>
      </c>
      <c r="M150" s="26">
        <f aca="true" t="shared" si="179" ref="M150:M155">J150*AP150</f>
        <v>0</v>
      </c>
      <c r="N150" s="46">
        <f aca="true" t="shared" si="180" ref="N150:N155">J150*K150</f>
        <v>0</v>
      </c>
      <c r="O150" s="7"/>
      <c r="Z150" s="36">
        <f aca="true" t="shared" si="181" ref="Z150:Z155">IF(AQ150="5",BJ150,0)</f>
        <v>0</v>
      </c>
      <c r="AB150" s="36">
        <f aca="true" t="shared" si="182" ref="AB150:AB155">IF(AQ150="1",BH150,0)</f>
        <v>0</v>
      </c>
      <c r="AC150" s="36">
        <f aca="true" t="shared" si="183" ref="AC150:AC155">IF(AQ150="1",BI150,0)</f>
        <v>0</v>
      </c>
      <c r="AD150" s="36">
        <f aca="true" t="shared" si="184" ref="AD150:AD155">IF(AQ150="7",BH150,0)</f>
        <v>0</v>
      </c>
      <c r="AE150" s="36">
        <f aca="true" t="shared" si="185" ref="AE150:AE155">IF(AQ150="7",BI150,0)</f>
        <v>0</v>
      </c>
      <c r="AF150" s="36">
        <f aca="true" t="shared" si="186" ref="AF150:AF155">IF(AQ150="2",BH150,0)</f>
        <v>0</v>
      </c>
      <c r="AG150" s="36">
        <f aca="true" t="shared" si="187" ref="AG150:AG155">IF(AQ150="2",BI150,0)</f>
        <v>0</v>
      </c>
      <c r="AH150" s="36">
        <f aca="true" t="shared" si="188" ref="AH150:AH155">IF(AQ150="0",BJ150,0)</f>
        <v>0</v>
      </c>
      <c r="AI150" s="35" t="s">
        <v>208</v>
      </c>
      <c r="AJ150" s="26">
        <f aca="true" t="shared" si="189" ref="AJ150:AJ155">IF(AN150=0,N150,0)</f>
        <v>0</v>
      </c>
      <c r="AK150" s="26">
        <f aca="true" t="shared" si="190" ref="AK150:AK155">IF(AN150=15,N150,0)</f>
        <v>0</v>
      </c>
      <c r="AL150" s="26">
        <f aca="true" t="shared" si="191" ref="AL150:AL155">IF(AN150=21,N150,0)</f>
        <v>0</v>
      </c>
      <c r="AN150" s="36">
        <v>21</v>
      </c>
      <c r="AO150" s="36">
        <f>K150*0</f>
        <v>0</v>
      </c>
      <c r="AP150" s="36">
        <f>K150*(1-0)</f>
        <v>0</v>
      </c>
      <c r="AQ150" s="37" t="s">
        <v>13</v>
      </c>
      <c r="AV150" s="36">
        <f aca="true" t="shared" si="192" ref="AV150:AV155">AW150+AX150</f>
        <v>0</v>
      </c>
      <c r="AW150" s="36">
        <f aca="true" t="shared" si="193" ref="AW150:AW155">J150*AO150</f>
        <v>0</v>
      </c>
      <c r="AX150" s="36">
        <f aca="true" t="shared" si="194" ref="AX150:AX155">J150*AP150</f>
        <v>0</v>
      </c>
      <c r="AY150" s="39" t="s">
        <v>489</v>
      </c>
      <c r="AZ150" s="39" t="s">
        <v>513</v>
      </c>
      <c r="BA150" s="35" t="s">
        <v>521</v>
      </c>
      <c r="BC150" s="36">
        <f aca="true" t="shared" si="195" ref="BC150:BC155">AW150+AX150</f>
        <v>0</v>
      </c>
      <c r="BD150" s="36">
        <f aca="true" t="shared" si="196" ref="BD150:BD155">K150/(100-BE150)*100</f>
        <v>0</v>
      </c>
      <c r="BE150" s="36">
        <v>0</v>
      </c>
      <c r="BF150" s="36">
        <f>150</f>
        <v>150</v>
      </c>
      <c r="BH150" s="26">
        <f aca="true" t="shared" si="197" ref="BH150:BH155">J150*AO150</f>
        <v>0</v>
      </c>
      <c r="BI150" s="26">
        <f aca="true" t="shared" si="198" ref="BI150:BI155">J150*AP150</f>
        <v>0</v>
      </c>
      <c r="BJ150" s="26">
        <f aca="true" t="shared" si="199" ref="BJ150:BJ155">J150*K150</f>
        <v>0</v>
      </c>
      <c r="BK150" s="26" t="s">
        <v>526</v>
      </c>
      <c r="BL150" s="36">
        <v>771</v>
      </c>
    </row>
    <row r="151" spans="1:64" ht="12.75">
      <c r="A151" s="5" t="s">
        <v>119</v>
      </c>
      <c r="B151" s="16" t="s">
        <v>208</v>
      </c>
      <c r="C151" s="16" t="s">
        <v>220</v>
      </c>
      <c r="D151" s="127" t="s">
        <v>339</v>
      </c>
      <c r="E151" s="128"/>
      <c r="F151" s="128"/>
      <c r="G151" s="128"/>
      <c r="H151" s="128"/>
      <c r="I151" s="16" t="s">
        <v>460</v>
      </c>
      <c r="J151" s="26">
        <v>20.31</v>
      </c>
      <c r="K151" s="26">
        <v>0</v>
      </c>
      <c r="L151" s="26">
        <f t="shared" si="178"/>
        <v>0</v>
      </c>
      <c r="M151" s="26">
        <f t="shared" si="179"/>
        <v>0</v>
      </c>
      <c r="N151" s="46">
        <f t="shared" si="180"/>
        <v>0</v>
      </c>
      <c r="O151" s="7"/>
      <c r="Z151" s="36">
        <f t="shared" si="181"/>
        <v>0</v>
      </c>
      <c r="AB151" s="36">
        <f t="shared" si="182"/>
        <v>0</v>
      </c>
      <c r="AC151" s="36">
        <f t="shared" si="183"/>
        <v>0</v>
      </c>
      <c r="AD151" s="36">
        <f t="shared" si="184"/>
        <v>0</v>
      </c>
      <c r="AE151" s="36">
        <f t="shared" si="185"/>
        <v>0</v>
      </c>
      <c r="AF151" s="36">
        <f t="shared" si="186"/>
        <v>0</v>
      </c>
      <c r="AG151" s="36">
        <f t="shared" si="187"/>
        <v>0</v>
      </c>
      <c r="AH151" s="36">
        <f t="shared" si="188"/>
        <v>0</v>
      </c>
      <c r="AI151" s="35" t="s">
        <v>208</v>
      </c>
      <c r="AJ151" s="26">
        <f t="shared" si="189"/>
        <v>0</v>
      </c>
      <c r="AK151" s="26">
        <f t="shared" si="190"/>
        <v>0</v>
      </c>
      <c r="AL151" s="26">
        <f t="shared" si="191"/>
        <v>0</v>
      </c>
      <c r="AN151" s="36">
        <v>21</v>
      </c>
      <c r="AO151" s="36">
        <f>K151*0.506652095365577</f>
        <v>0</v>
      </c>
      <c r="AP151" s="36">
        <f>K151*(1-0.506652095365577)</f>
        <v>0</v>
      </c>
      <c r="AQ151" s="37" t="s">
        <v>13</v>
      </c>
      <c r="AV151" s="36">
        <f t="shared" si="192"/>
        <v>0</v>
      </c>
      <c r="AW151" s="36">
        <f t="shared" si="193"/>
        <v>0</v>
      </c>
      <c r="AX151" s="36">
        <f t="shared" si="194"/>
        <v>0</v>
      </c>
      <c r="AY151" s="39" t="s">
        <v>489</v>
      </c>
      <c r="AZ151" s="39" t="s">
        <v>513</v>
      </c>
      <c r="BA151" s="35" t="s">
        <v>521</v>
      </c>
      <c r="BC151" s="36">
        <f t="shared" si="195"/>
        <v>0</v>
      </c>
      <c r="BD151" s="36">
        <f t="shared" si="196"/>
        <v>0</v>
      </c>
      <c r="BE151" s="36">
        <v>0</v>
      </c>
      <c r="BF151" s="36">
        <f>151</f>
        <v>151</v>
      </c>
      <c r="BH151" s="26">
        <f t="shared" si="197"/>
        <v>0</v>
      </c>
      <c r="BI151" s="26">
        <f t="shared" si="198"/>
        <v>0</v>
      </c>
      <c r="BJ151" s="26">
        <f t="shared" si="199"/>
        <v>0</v>
      </c>
      <c r="BK151" s="26" t="s">
        <v>526</v>
      </c>
      <c r="BL151" s="36">
        <v>771</v>
      </c>
    </row>
    <row r="152" spans="1:64" ht="12.75">
      <c r="A152" s="5" t="s">
        <v>120</v>
      </c>
      <c r="B152" s="16" t="s">
        <v>208</v>
      </c>
      <c r="C152" s="16" t="s">
        <v>221</v>
      </c>
      <c r="D152" s="127" t="s">
        <v>340</v>
      </c>
      <c r="E152" s="128"/>
      <c r="F152" s="128"/>
      <c r="G152" s="128"/>
      <c r="H152" s="128"/>
      <c r="I152" s="16" t="s">
        <v>460</v>
      </c>
      <c r="J152" s="26">
        <v>20.31</v>
      </c>
      <c r="K152" s="26">
        <v>0</v>
      </c>
      <c r="L152" s="26">
        <f t="shared" si="178"/>
        <v>0</v>
      </c>
      <c r="M152" s="26">
        <f t="shared" si="179"/>
        <v>0</v>
      </c>
      <c r="N152" s="46">
        <f t="shared" si="180"/>
        <v>0</v>
      </c>
      <c r="O152" s="7"/>
      <c r="Z152" s="36">
        <f t="shared" si="181"/>
        <v>0</v>
      </c>
      <c r="AB152" s="36">
        <f t="shared" si="182"/>
        <v>0</v>
      </c>
      <c r="AC152" s="36">
        <f t="shared" si="183"/>
        <v>0</v>
      </c>
      <c r="AD152" s="36">
        <f t="shared" si="184"/>
        <v>0</v>
      </c>
      <c r="AE152" s="36">
        <f t="shared" si="185"/>
        <v>0</v>
      </c>
      <c r="AF152" s="36">
        <f t="shared" si="186"/>
        <v>0</v>
      </c>
      <c r="AG152" s="36">
        <f t="shared" si="187"/>
        <v>0</v>
      </c>
      <c r="AH152" s="36">
        <f t="shared" si="188"/>
        <v>0</v>
      </c>
      <c r="AI152" s="35" t="s">
        <v>208</v>
      </c>
      <c r="AJ152" s="26">
        <f t="shared" si="189"/>
        <v>0</v>
      </c>
      <c r="AK152" s="26">
        <f t="shared" si="190"/>
        <v>0</v>
      </c>
      <c r="AL152" s="26">
        <f t="shared" si="191"/>
        <v>0</v>
      </c>
      <c r="AN152" s="36">
        <v>21</v>
      </c>
      <c r="AO152" s="36">
        <f>K152*0</f>
        <v>0</v>
      </c>
      <c r="AP152" s="36">
        <f>K152*(1-0)</f>
        <v>0</v>
      </c>
      <c r="AQ152" s="37" t="s">
        <v>13</v>
      </c>
      <c r="AV152" s="36">
        <f t="shared" si="192"/>
        <v>0</v>
      </c>
      <c r="AW152" s="36">
        <f t="shared" si="193"/>
        <v>0</v>
      </c>
      <c r="AX152" s="36">
        <f t="shared" si="194"/>
        <v>0</v>
      </c>
      <c r="AY152" s="39" t="s">
        <v>489</v>
      </c>
      <c r="AZ152" s="39" t="s">
        <v>513</v>
      </c>
      <c r="BA152" s="35" t="s">
        <v>521</v>
      </c>
      <c r="BC152" s="36">
        <f t="shared" si="195"/>
        <v>0</v>
      </c>
      <c r="BD152" s="36">
        <f t="shared" si="196"/>
        <v>0</v>
      </c>
      <c r="BE152" s="36">
        <v>0</v>
      </c>
      <c r="BF152" s="36">
        <f>152</f>
        <v>152</v>
      </c>
      <c r="BH152" s="26">
        <f t="shared" si="197"/>
        <v>0</v>
      </c>
      <c r="BI152" s="26">
        <f t="shared" si="198"/>
        <v>0</v>
      </c>
      <c r="BJ152" s="26">
        <f t="shared" si="199"/>
        <v>0</v>
      </c>
      <c r="BK152" s="26" t="s">
        <v>526</v>
      </c>
      <c r="BL152" s="36">
        <v>771</v>
      </c>
    </row>
    <row r="153" spans="1:64" ht="12.75">
      <c r="A153" s="6" t="s">
        <v>121</v>
      </c>
      <c r="B153" s="17" t="s">
        <v>208</v>
      </c>
      <c r="C153" s="17" t="s">
        <v>222</v>
      </c>
      <c r="D153" s="133" t="s">
        <v>341</v>
      </c>
      <c r="E153" s="134"/>
      <c r="F153" s="134"/>
      <c r="G153" s="134"/>
      <c r="H153" s="134"/>
      <c r="I153" s="17" t="s">
        <v>464</v>
      </c>
      <c r="J153" s="27">
        <v>304.65</v>
      </c>
      <c r="K153" s="27">
        <v>0</v>
      </c>
      <c r="L153" s="27">
        <f t="shared" si="178"/>
        <v>0</v>
      </c>
      <c r="M153" s="27">
        <f t="shared" si="179"/>
        <v>0</v>
      </c>
      <c r="N153" s="47">
        <f t="shared" si="180"/>
        <v>0</v>
      </c>
      <c r="O153" s="7"/>
      <c r="Z153" s="36">
        <f t="shared" si="181"/>
        <v>0</v>
      </c>
      <c r="AB153" s="36">
        <f t="shared" si="182"/>
        <v>0</v>
      </c>
      <c r="AC153" s="36">
        <f t="shared" si="183"/>
        <v>0</v>
      </c>
      <c r="AD153" s="36">
        <f t="shared" si="184"/>
        <v>0</v>
      </c>
      <c r="AE153" s="36">
        <f t="shared" si="185"/>
        <v>0</v>
      </c>
      <c r="AF153" s="36">
        <f t="shared" si="186"/>
        <v>0</v>
      </c>
      <c r="AG153" s="36">
        <f t="shared" si="187"/>
        <v>0</v>
      </c>
      <c r="AH153" s="36">
        <f t="shared" si="188"/>
        <v>0</v>
      </c>
      <c r="AI153" s="35" t="s">
        <v>208</v>
      </c>
      <c r="AJ153" s="27">
        <f t="shared" si="189"/>
        <v>0</v>
      </c>
      <c r="AK153" s="27">
        <f t="shared" si="190"/>
        <v>0</v>
      </c>
      <c r="AL153" s="27">
        <f t="shared" si="191"/>
        <v>0</v>
      </c>
      <c r="AN153" s="36">
        <v>21</v>
      </c>
      <c r="AO153" s="36">
        <f>K153*1</f>
        <v>0</v>
      </c>
      <c r="AP153" s="36">
        <f>K153*(1-1)</f>
        <v>0</v>
      </c>
      <c r="AQ153" s="38" t="s">
        <v>13</v>
      </c>
      <c r="AV153" s="36">
        <f t="shared" si="192"/>
        <v>0</v>
      </c>
      <c r="AW153" s="36">
        <f t="shared" si="193"/>
        <v>0</v>
      </c>
      <c r="AX153" s="36">
        <f t="shared" si="194"/>
        <v>0</v>
      </c>
      <c r="AY153" s="39" t="s">
        <v>489</v>
      </c>
      <c r="AZ153" s="39" t="s">
        <v>513</v>
      </c>
      <c r="BA153" s="35" t="s">
        <v>521</v>
      </c>
      <c r="BC153" s="36">
        <f t="shared" si="195"/>
        <v>0</v>
      </c>
      <c r="BD153" s="36">
        <f t="shared" si="196"/>
        <v>0</v>
      </c>
      <c r="BE153" s="36">
        <v>0</v>
      </c>
      <c r="BF153" s="36">
        <f>153</f>
        <v>153</v>
      </c>
      <c r="BH153" s="27">
        <f t="shared" si="197"/>
        <v>0</v>
      </c>
      <c r="BI153" s="27">
        <f t="shared" si="198"/>
        <v>0</v>
      </c>
      <c r="BJ153" s="27">
        <f t="shared" si="199"/>
        <v>0</v>
      </c>
      <c r="BK153" s="27" t="s">
        <v>527</v>
      </c>
      <c r="BL153" s="36">
        <v>771</v>
      </c>
    </row>
    <row r="154" spans="1:64" ht="12.75">
      <c r="A154" s="5" t="s">
        <v>122</v>
      </c>
      <c r="B154" s="16" t="s">
        <v>208</v>
      </c>
      <c r="C154" s="16" t="s">
        <v>223</v>
      </c>
      <c r="D154" s="127" t="s">
        <v>342</v>
      </c>
      <c r="E154" s="128"/>
      <c r="F154" s="128"/>
      <c r="G154" s="128"/>
      <c r="H154" s="128"/>
      <c r="I154" s="16" t="s">
        <v>460</v>
      </c>
      <c r="J154" s="26">
        <v>20.31</v>
      </c>
      <c r="K154" s="26">
        <v>0</v>
      </c>
      <c r="L154" s="26">
        <f t="shared" si="178"/>
        <v>0</v>
      </c>
      <c r="M154" s="26">
        <f t="shared" si="179"/>
        <v>0</v>
      </c>
      <c r="N154" s="46">
        <f t="shared" si="180"/>
        <v>0</v>
      </c>
      <c r="O154" s="7"/>
      <c r="Z154" s="36">
        <f t="shared" si="181"/>
        <v>0</v>
      </c>
      <c r="AB154" s="36">
        <f t="shared" si="182"/>
        <v>0</v>
      </c>
      <c r="AC154" s="36">
        <f t="shared" si="183"/>
        <v>0</v>
      </c>
      <c r="AD154" s="36">
        <f t="shared" si="184"/>
        <v>0</v>
      </c>
      <c r="AE154" s="36">
        <f t="shared" si="185"/>
        <v>0</v>
      </c>
      <c r="AF154" s="36">
        <f t="shared" si="186"/>
        <v>0</v>
      </c>
      <c r="AG154" s="36">
        <f t="shared" si="187"/>
        <v>0</v>
      </c>
      <c r="AH154" s="36">
        <f t="shared" si="188"/>
        <v>0</v>
      </c>
      <c r="AI154" s="35" t="s">
        <v>208</v>
      </c>
      <c r="AJ154" s="26">
        <f t="shared" si="189"/>
        <v>0</v>
      </c>
      <c r="AK154" s="26">
        <f t="shared" si="190"/>
        <v>0</v>
      </c>
      <c r="AL154" s="26">
        <f t="shared" si="191"/>
        <v>0</v>
      </c>
      <c r="AN154" s="36">
        <v>21</v>
      </c>
      <c r="AO154" s="36">
        <f>K154*0.2071875</f>
        <v>0</v>
      </c>
      <c r="AP154" s="36">
        <f>K154*(1-0.2071875)</f>
        <v>0</v>
      </c>
      <c r="AQ154" s="37" t="s">
        <v>13</v>
      </c>
      <c r="AV154" s="36">
        <f t="shared" si="192"/>
        <v>0</v>
      </c>
      <c r="AW154" s="36">
        <f t="shared" si="193"/>
        <v>0</v>
      </c>
      <c r="AX154" s="36">
        <f t="shared" si="194"/>
        <v>0</v>
      </c>
      <c r="AY154" s="39" t="s">
        <v>489</v>
      </c>
      <c r="AZ154" s="39" t="s">
        <v>513</v>
      </c>
      <c r="BA154" s="35" t="s">
        <v>521</v>
      </c>
      <c r="BC154" s="36">
        <f t="shared" si="195"/>
        <v>0</v>
      </c>
      <c r="BD154" s="36">
        <f t="shared" si="196"/>
        <v>0</v>
      </c>
      <c r="BE154" s="36">
        <v>0</v>
      </c>
      <c r="BF154" s="36">
        <f>154</f>
        <v>154</v>
      </c>
      <c r="BH154" s="26">
        <f t="shared" si="197"/>
        <v>0</v>
      </c>
      <c r="BI154" s="26">
        <f t="shared" si="198"/>
        <v>0</v>
      </c>
      <c r="BJ154" s="26">
        <f t="shared" si="199"/>
        <v>0</v>
      </c>
      <c r="BK154" s="26" t="s">
        <v>526</v>
      </c>
      <c r="BL154" s="36">
        <v>771</v>
      </c>
    </row>
    <row r="155" spans="1:64" ht="12.75">
      <c r="A155" s="6" t="s">
        <v>123</v>
      </c>
      <c r="B155" s="17" t="s">
        <v>208</v>
      </c>
      <c r="C155" s="17" t="s">
        <v>224</v>
      </c>
      <c r="D155" s="133" t="s">
        <v>343</v>
      </c>
      <c r="E155" s="134"/>
      <c r="F155" s="134"/>
      <c r="G155" s="134"/>
      <c r="H155" s="134"/>
      <c r="I155" s="17" t="s">
        <v>460</v>
      </c>
      <c r="J155" s="27">
        <v>22.341</v>
      </c>
      <c r="K155" s="27">
        <v>0</v>
      </c>
      <c r="L155" s="27">
        <f t="shared" si="178"/>
        <v>0</v>
      </c>
      <c r="M155" s="27">
        <f t="shared" si="179"/>
        <v>0</v>
      </c>
      <c r="N155" s="47">
        <f t="shared" si="180"/>
        <v>0</v>
      </c>
      <c r="O155" s="7"/>
      <c r="Z155" s="36">
        <f t="shared" si="181"/>
        <v>0</v>
      </c>
      <c r="AB155" s="36">
        <f t="shared" si="182"/>
        <v>0</v>
      </c>
      <c r="AC155" s="36">
        <f t="shared" si="183"/>
        <v>0</v>
      </c>
      <c r="AD155" s="36">
        <f t="shared" si="184"/>
        <v>0</v>
      </c>
      <c r="AE155" s="36">
        <f t="shared" si="185"/>
        <v>0</v>
      </c>
      <c r="AF155" s="36">
        <f t="shared" si="186"/>
        <v>0</v>
      </c>
      <c r="AG155" s="36">
        <f t="shared" si="187"/>
        <v>0</v>
      </c>
      <c r="AH155" s="36">
        <f t="shared" si="188"/>
        <v>0</v>
      </c>
      <c r="AI155" s="35" t="s">
        <v>208</v>
      </c>
      <c r="AJ155" s="27">
        <f t="shared" si="189"/>
        <v>0</v>
      </c>
      <c r="AK155" s="27">
        <f t="shared" si="190"/>
        <v>0</v>
      </c>
      <c r="AL155" s="27">
        <f t="shared" si="191"/>
        <v>0</v>
      </c>
      <c r="AN155" s="36">
        <v>21</v>
      </c>
      <c r="AO155" s="36">
        <f>K155*1</f>
        <v>0</v>
      </c>
      <c r="AP155" s="36">
        <f>K155*(1-1)</f>
        <v>0</v>
      </c>
      <c r="AQ155" s="38" t="s">
        <v>13</v>
      </c>
      <c r="AV155" s="36">
        <f t="shared" si="192"/>
        <v>0</v>
      </c>
      <c r="AW155" s="36">
        <f t="shared" si="193"/>
        <v>0</v>
      </c>
      <c r="AX155" s="36">
        <f t="shared" si="194"/>
        <v>0</v>
      </c>
      <c r="AY155" s="39" t="s">
        <v>489</v>
      </c>
      <c r="AZ155" s="39" t="s">
        <v>513</v>
      </c>
      <c r="BA155" s="35" t="s">
        <v>521</v>
      </c>
      <c r="BC155" s="36">
        <f t="shared" si="195"/>
        <v>0</v>
      </c>
      <c r="BD155" s="36">
        <f t="shared" si="196"/>
        <v>0</v>
      </c>
      <c r="BE155" s="36">
        <v>0</v>
      </c>
      <c r="BF155" s="36">
        <f>155</f>
        <v>155</v>
      </c>
      <c r="BH155" s="27">
        <f t="shared" si="197"/>
        <v>0</v>
      </c>
      <c r="BI155" s="27">
        <f t="shared" si="198"/>
        <v>0</v>
      </c>
      <c r="BJ155" s="27">
        <f t="shared" si="199"/>
        <v>0</v>
      </c>
      <c r="BK155" s="27" t="s">
        <v>527</v>
      </c>
      <c r="BL155" s="36">
        <v>771</v>
      </c>
    </row>
    <row r="156" spans="1:15" ht="12.75">
      <c r="A156" s="7"/>
      <c r="C156" s="20" t="s">
        <v>205</v>
      </c>
      <c r="D156" s="135" t="s">
        <v>332</v>
      </c>
      <c r="E156" s="136"/>
      <c r="F156" s="136"/>
      <c r="G156" s="136"/>
      <c r="H156" s="136"/>
      <c r="I156" s="136"/>
      <c r="J156" s="136"/>
      <c r="K156" s="136"/>
      <c r="L156" s="136"/>
      <c r="M156" s="136"/>
      <c r="N156" s="137"/>
      <c r="O156" s="7"/>
    </row>
    <row r="157" spans="1:64" ht="12.75">
      <c r="A157" s="5" t="s">
        <v>124</v>
      </c>
      <c r="B157" s="16" t="s">
        <v>208</v>
      </c>
      <c r="C157" s="16" t="s">
        <v>225</v>
      </c>
      <c r="D157" s="127" t="s">
        <v>344</v>
      </c>
      <c r="E157" s="128"/>
      <c r="F157" s="128"/>
      <c r="G157" s="128"/>
      <c r="H157" s="128"/>
      <c r="I157" s="16" t="s">
        <v>461</v>
      </c>
      <c r="J157" s="26">
        <v>2</v>
      </c>
      <c r="K157" s="26">
        <v>0</v>
      </c>
      <c r="L157" s="26">
        <f>J157*AO157</f>
        <v>0</v>
      </c>
      <c r="M157" s="26">
        <f>J157*AP157</f>
        <v>0</v>
      </c>
      <c r="N157" s="46">
        <f>J157*K157</f>
        <v>0</v>
      </c>
      <c r="O157" s="7"/>
      <c r="Z157" s="36">
        <f>IF(AQ157="5",BJ157,0)</f>
        <v>0</v>
      </c>
      <c r="AB157" s="36">
        <f>IF(AQ157="1",BH157,0)</f>
        <v>0</v>
      </c>
      <c r="AC157" s="36">
        <f>IF(AQ157="1",BI157,0)</f>
        <v>0</v>
      </c>
      <c r="AD157" s="36">
        <f>IF(AQ157="7",BH157,0)</f>
        <v>0</v>
      </c>
      <c r="AE157" s="36">
        <f>IF(AQ157="7",BI157,0)</f>
        <v>0</v>
      </c>
      <c r="AF157" s="36">
        <f>IF(AQ157="2",BH157,0)</f>
        <v>0</v>
      </c>
      <c r="AG157" s="36">
        <f>IF(AQ157="2",BI157,0)</f>
        <v>0</v>
      </c>
      <c r="AH157" s="36">
        <f>IF(AQ157="0",BJ157,0)</f>
        <v>0</v>
      </c>
      <c r="AI157" s="35" t="s">
        <v>208</v>
      </c>
      <c r="AJ157" s="26">
        <f>IF(AN157=0,N157,0)</f>
        <v>0</v>
      </c>
      <c r="AK157" s="26">
        <f>IF(AN157=15,N157,0)</f>
        <v>0</v>
      </c>
      <c r="AL157" s="26">
        <f>IF(AN157=21,N157,0)</f>
        <v>0</v>
      </c>
      <c r="AN157" s="36">
        <v>21</v>
      </c>
      <c r="AO157" s="36">
        <f>K157*0.722495543672014</f>
        <v>0</v>
      </c>
      <c r="AP157" s="36">
        <f>K157*(1-0.722495543672014)</f>
        <v>0</v>
      </c>
      <c r="AQ157" s="37" t="s">
        <v>13</v>
      </c>
      <c r="AV157" s="36">
        <f>AW157+AX157</f>
        <v>0</v>
      </c>
      <c r="AW157" s="36">
        <f>J157*AO157</f>
        <v>0</v>
      </c>
      <c r="AX157" s="36">
        <f>J157*AP157</f>
        <v>0</v>
      </c>
      <c r="AY157" s="39" t="s">
        <v>489</v>
      </c>
      <c r="AZ157" s="39" t="s">
        <v>513</v>
      </c>
      <c r="BA157" s="35" t="s">
        <v>521</v>
      </c>
      <c r="BC157" s="36">
        <f>AW157+AX157</f>
        <v>0</v>
      </c>
      <c r="BD157" s="36">
        <f>K157/(100-BE157)*100</f>
        <v>0</v>
      </c>
      <c r="BE157" s="36">
        <v>0</v>
      </c>
      <c r="BF157" s="36">
        <f>157</f>
        <v>157</v>
      </c>
      <c r="BH157" s="26">
        <f>J157*AO157</f>
        <v>0</v>
      </c>
      <c r="BI157" s="26">
        <f>J157*AP157</f>
        <v>0</v>
      </c>
      <c r="BJ157" s="26">
        <f>J157*K157</f>
        <v>0</v>
      </c>
      <c r="BK157" s="26" t="s">
        <v>526</v>
      </c>
      <c r="BL157" s="36">
        <v>771</v>
      </c>
    </row>
    <row r="158" spans="1:64" ht="12.75">
      <c r="A158" s="5" t="s">
        <v>125</v>
      </c>
      <c r="B158" s="16" t="s">
        <v>208</v>
      </c>
      <c r="C158" s="16" t="s">
        <v>226</v>
      </c>
      <c r="D158" s="127" t="s">
        <v>345</v>
      </c>
      <c r="E158" s="128"/>
      <c r="F158" s="128"/>
      <c r="G158" s="128"/>
      <c r="H158" s="128"/>
      <c r="I158" s="16" t="s">
        <v>463</v>
      </c>
      <c r="J158" s="26">
        <v>5.5</v>
      </c>
      <c r="K158" s="26">
        <v>0</v>
      </c>
      <c r="L158" s="26">
        <f>J158*AO158</f>
        <v>0</v>
      </c>
      <c r="M158" s="26">
        <f>J158*AP158</f>
        <v>0</v>
      </c>
      <c r="N158" s="46">
        <f>J158*K158</f>
        <v>0</v>
      </c>
      <c r="O158" s="7"/>
      <c r="Z158" s="36">
        <f>IF(AQ158="5",BJ158,0)</f>
        <v>0</v>
      </c>
      <c r="AB158" s="36">
        <f>IF(AQ158="1",BH158,0)</f>
        <v>0</v>
      </c>
      <c r="AC158" s="36">
        <f>IF(AQ158="1",BI158,0)</f>
        <v>0</v>
      </c>
      <c r="AD158" s="36">
        <f>IF(AQ158="7",BH158,0)</f>
        <v>0</v>
      </c>
      <c r="AE158" s="36">
        <f>IF(AQ158="7",BI158,0)</f>
        <v>0</v>
      </c>
      <c r="AF158" s="36">
        <f>IF(AQ158="2",BH158,0)</f>
        <v>0</v>
      </c>
      <c r="AG158" s="36">
        <f>IF(AQ158="2",BI158,0)</f>
        <v>0</v>
      </c>
      <c r="AH158" s="36">
        <f>IF(AQ158="0",BJ158,0)</f>
        <v>0</v>
      </c>
      <c r="AI158" s="35" t="s">
        <v>208</v>
      </c>
      <c r="AJ158" s="26">
        <f>IF(AN158=0,N158,0)</f>
        <v>0</v>
      </c>
      <c r="AK158" s="26">
        <f>IF(AN158=15,N158,0)</f>
        <v>0</v>
      </c>
      <c r="AL158" s="26">
        <f>IF(AN158=21,N158,0)</f>
        <v>0</v>
      </c>
      <c r="AN158" s="36">
        <v>21</v>
      </c>
      <c r="AO158" s="36">
        <f>K158*0</f>
        <v>0</v>
      </c>
      <c r="AP158" s="36">
        <f>K158*(1-0)</f>
        <v>0</v>
      </c>
      <c r="AQ158" s="37" t="s">
        <v>11</v>
      </c>
      <c r="AV158" s="36">
        <f>AW158+AX158</f>
        <v>0</v>
      </c>
      <c r="AW158" s="36">
        <f>J158*AO158</f>
        <v>0</v>
      </c>
      <c r="AX158" s="36">
        <f>J158*AP158</f>
        <v>0</v>
      </c>
      <c r="AY158" s="39" t="s">
        <v>489</v>
      </c>
      <c r="AZ158" s="39" t="s">
        <v>513</v>
      </c>
      <c r="BA158" s="35" t="s">
        <v>521</v>
      </c>
      <c r="BC158" s="36">
        <f>AW158+AX158</f>
        <v>0</v>
      </c>
      <c r="BD158" s="36">
        <f>K158/(100-BE158)*100</f>
        <v>0</v>
      </c>
      <c r="BE158" s="36">
        <v>0</v>
      </c>
      <c r="BF158" s="36">
        <f>158</f>
        <v>158</v>
      </c>
      <c r="BH158" s="26">
        <f>J158*AO158</f>
        <v>0</v>
      </c>
      <c r="BI158" s="26">
        <f>J158*AP158</f>
        <v>0</v>
      </c>
      <c r="BJ158" s="26">
        <f>J158*K158</f>
        <v>0</v>
      </c>
      <c r="BK158" s="26" t="s">
        <v>526</v>
      </c>
      <c r="BL158" s="36">
        <v>771</v>
      </c>
    </row>
    <row r="159" spans="1:47" ht="12.75">
      <c r="A159" s="4"/>
      <c r="B159" s="15" t="s">
        <v>208</v>
      </c>
      <c r="C159" s="15" t="s">
        <v>69</v>
      </c>
      <c r="D159" s="129" t="s">
        <v>346</v>
      </c>
      <c r="E159" s="130"/>
      <c r="F159" s="130"/>
      <c r="G159" s="130"/>
      <c r="H159" s="130"/>
      <c r="I159" s="23" t="s">
        <v>6</v>
      </c>
      <c r="J159" s="23" t="s">
        <v>6</v>
      </c>
      <c r="K159" s="23" t="s">
        <v>6</v>
      </c>
      <c r="L159" s="42">
        <f>SUM(L160:L162)</f>
        <v>0</v>
      </c>
      <c r="M159" s="42">
        <f>SUM(M160:M162)</f>
        <v>0</v>
      </c>
      <c r="N159" s="45">
        <f>SUM(N160:N162)</f>
        <v>0</v>
      </c>
      <c r="O159" s="7"/>
      <c r="AI159" s="35" t="s">
        <v>208</v>
      </c>
      <c r="AS159" s="42">
        <f>SUM(AJ160:AJ162)</f>
        <v>0</v>
      </c>
      <c r="AT159" s="42">
        <f>SUM(AK160:AK162)</f>
        <v>0</v>
      </c>
      <c r="AU159" s="42">
        <f>SUM(AL160:AL162)</f>
        <v>0</v>
      </c>
    </row>
    <row r="160" spans="1:64" ht="12.75">
      <c r="A160" s="5" t="s">
        <v>126</v>
      </c>
      <c r="B160" s="16" t="s">
        <v>208</v>
      </c>
      <c r="C160" s="16" t="s">
        <v>227</v>
      </c>
      <c r="D160" s="127" t="s">
        <v>347</v>
      </c>
      <c r="E160" s="128"/>
      <c r="F160" s="128"/>
      <c r="G160" s="128"/>
      <c r="H160" s="128"/>
      <c r="I160" s="16" t="s">
        <v>460</v>
      </c>
      <c r="J160" s="26">
        <v>6.093</v>
      </c>
      <c r="K160" s="26">
        <v>0</v>
      </c>
      <c r="L160" s="26">
        <f>J160*AO160</f>
        <v>0</v>
      </c>
      <c r="M160" s="26">
        <f>J160*AP160</f>
        <v>0</v>
      </c>
      <c r="N160" s="46">
        <f>J160*K160</f>
        <v>0</v>
      </c>
      <c r="O160" s="7"/>
      <c r="Z160" s="36">
        <f>IF(AQ160="5",BJ160,0)</f>
        <v>0</v>
      </c>
      <c r="AB160" s="36">
        <f>IF(AQ160="1",BH160,0)</f>
        <v>0</v>
      </c>
      <c r="AC160" s="36">
        <f>IF(AQ160="1",BI160,0)</f>
        <v>0</v>
      </c>
      <c r="AD160" s="36">
        <f>IF(AQ160="7",BH160,0)</f>
        <v>0</v>
      </c>
      <c r="AE160" s="36">
        <f>IF(AQ160="7",BI160,0)</f>
        <v>0</v>
      </c>
      <c r="AF160" s="36">
        <f>IF(AQ160="2",BH160,0)</f>
        <v>0</v>
      </c>
      <c r="AG160" s="36">
        <f>IF(AQ160="2",BI160,0)</f>
        <v>0</v>
      </c>
      <c r="AH160" s="36">
        <f>IF(AQ160="0",BJ160,0)</f>
        <v>0</v>
      </c>
      <c r="AI160" s="35" t="s">
        <v>208</v>
      </c>
      <c r="AJ160" s="26">
        <f>IF(AN160=0,N160,0)</f>
        <v>0</v>
      </c>
      <c r="AK160" s="26">
        <f>IF(AN160=15,N160,0)</f>
        <v>0</v>
      </c>
      <c r="AL160" s="26">
        <f>IF(AN160=21,N160,0)</f>
        <v>0</v>
      </c>
      <c r="AN160" s="36">
        <v>21</v>
      </c>
      <c r="AO160" s="36">
        <f>K160*0</f>
        <v>0</v>
      </c>
      <c r="AP160" s="36">
        <f>K160*(1-0)</f>
        <v>0</v>
      </c>
      <c r="AQ160" s="37" t="s">
        <v>7</v>
      </c>
      <c r="AV160" s="36">
        <f>AW160+AX160</f>
        <v>0</v>
      </c>
      <c r="AW160" s="36">
        <f>J160*AO160</f>
        <v>0</v>
      </c>
      <c r="AX160" s="36">
        <f>J160*AP160</f>
        <v>0</v>
      </c>
      <c r="AY160" s="39" t="s">
        <v>490</v>
      </c>
      <c r="AZ160" s="39" t="s">
        <v>514</v>
      </c>
      <c r="BA160" s="35" t="s">
        <v>521</v>
      </c>
      <c r="BC160" s="36">
        <f>AW160+AX160</f>
        <v>0</v>
      </c>
      <c r="BD160" s="36">
        <f>K160/(100-BE160)*100</f>
        <v>0</v>
      </c>
      <c r="BE160" s="36">
        <v>0</v>
      </c>
      <c r="BF160" s="36">
        <f>160</f>
        <v>160</v>
      </c>
      <c r="BH160" s="26">
        <f>J160*AO160</f>
        <v>0</v>
      </c>
      <c r="BI160" s="26">
        <f>J160*AP160</f>
        <v>0</v>
      </c>
      <c r="BJ160" s="26">
        <f>J160*K160</f>
        <v>0</v>
      </c>
      <c r="BK160" s="26" t="s">
        <v>526</v>
      </c>
      <c r="BL160" s="36">
        <v>63</v>
      </c>
    </row>
    <row r="161" spans="1:15" ht="12.75">
      <c r="A161" s="7"/>
      <c r="C161" s="20" t="s">
        <v>205</v>
      </c>
      <c r="D161" s="135" t="s">
        <v>348</v>
      </c>
      <c r="E161" s="136"/>
      <c r="F161" s="136"/>
      <c r="G161" s="136"/>
      <c r="H161" s="136"/>
      <c r="I161" s="136"/>
      <c r="J161" s="136"/>
      <c r="K161" s="136"/>
      <c r="L161" s="136"/>
      <c r="M161" s="136"/>
      <c r="N161" s="137"/>
      <c r="O161" s="7"/>
    </row>
    <row r="162" spans="1:64" ht="12.75">
      <c r="A162" s="5" t="s">
        <v>127</v>
      </c>
      <c r="B162" s="16" t="s">
        <v>208</v>
      </c>
      <c r="C162" s="16" t="s">
        <v>228</v>
      </c>
      <c r="D162" s="127" t="s">
        <v>349</v>
      </c>
      <c r="E162" s="128"/>
      <c r="F162" s="128"/>
      <c r="G162" s="128"/>
      <c r="H162" s="128"/>
      <c r="I162" s="16" t="s">
        <v>460</v>
      </c>
      <c r="J162" s="26">
        <v>6.093</v>
      </c>
      <c r="K162" s="26">
        <v>0</v>
      </c>
      <c r="L162" s="26">
        <f>J162*AO162</f>
        <v>0</v>
      </c>
      <c r="M162" s="26">
        <f>J162*AP162</f>
        <v>0</v>
      </c>
      <c r="N162" s="46">
        <f>J162*K162</f>
        <v>0</v>
      </c>
      <c r="O162" s="7"/>
      <c r="Z162" s="36">
        <f>IF(AQ162="5",BJ162,0)</f>
        <v>0</v>
      </c>
      <c r="AB162" s="36">
        <f>IF(AQ162="1",BH162,0)</f>
        <v>0</v>
      </c>
      <c r="AC162" s="36">
        <f>IF(AQ162="1",BI162,0)</f>
        <v>0</v>
      </c>
      <c r="AD162" s="36">
        <f>IF(AQ162="7",BH162,0)</f>
        <v>0</v>
      </c>
      <c r="AE162" s="36">
        <f>IF(AQ162="7",BI162,0)</f>
        <v>0</v>
      </c>
      <c r="AF162" s="36">
        <f>IF(AQ162="2",BH162,0)</f>
        <v>0</v>
      </c>
      <c r="AG162" s="36">
        <f>IF(AQ162="2",BI162,0)</f>
        <v>0</v>
      </c>
      <c r="AH162" s="36">
        <f>IF(AQ162="0",BJ162,0)</f>
        <v>0</v>
      </c>
      <c r="AI162" s="35" t="s">
        <v>208</v>
      </c>
      <c r="AJ162" s="26">
        <f>IF(AN162=0,N162,0)</f>
        <v>0</v>
      </c>
      <c r="AK162" s="26">
        <f>IF(AN162=15,N162,0)</f>
        <v>0</v>
      </c>
      <c r="AL162" s="26">
        <f>IF(AN162=21,N162,0)</f>
        <v>0</v>
      </c>
      <c r="AN162" s="36">
        <v>21</v>
      </c>
      <c r="AO162" s="36">
        <f>K162*0.522238014792229</f>
        <v>0</v>
      </c>
      <c r="AP162" s="36">
        <f>K162*(1-0.522238014792229)</f>
        <v>0</v>
      </c>
      <c r="AQ162" s="37" t="s">
        <v>7</v>
      </c>
      <c r="AV162" s="36">
        <f>AW162+AX162</f>
        <v>0</v>
      </c>
      <c r="AW162" s="36">
        <f>J162*AO162</f>
        <v>0</v>
      </c>
      <c r="AX162" s="36">
        <f>J162*AP162</f>
        <v>0</v>
      </c>
      <c r="AY162" s="39" t="s">
        <v>490</v>
      </c>
      <c r="AZ162" s="39" t="s">
        <v>514</v>
      </c>
      <c r="BA162" s="35" t="s">
        <v>521</v>
      </c>
      <c r="BC162" s="36">
        <f>AW162+AX162</f>
        <v>0</v>
      </c>
      <c r="BD162" s="36">
        <f>K162/(100-BE162)*100</f>
        <v>0</v>
      </c>
      <c r="BE162" s="36">
        <v>0</v>
      </c>
      <c r="BF162" s="36">
        <f>162</f>
        <v>162</v>
      </c>
      <c r="BH162" s="26">
        <f>J162*AO162</f>
        <v>0</v>
      </c>
      <c r="BI162" s="26">
        <f>J162*AP162</f>
        <v>0</v>
      </c>
      <c r="BJ162" s="26">
        <f>J162*K162</f>
        <v>0</v>
      </c>
      <c r="BK162" s="26" t="s">
        <v>526</v>
      </c>
      <c r="BL162" s="36">
        <v>63</v>
      </c>
    </row>
    <row r="163" spans="1:47" ht="12.75">
      <c r="A163" s="4"/>
      <c r="B163" s="15" t="s">
        <v>208</v>
      </c>
      <c r="C163" s="15" t="s">
        <v>12</v>
      </c>
      <c r="D163" s="129" t="s">
        <v>350</v>
      </c>
      <c r="E163" s="130"/>
      <c r="F163" s="130"/>
      <c r="G163" s="130"/>
      <c r="H163" s="130"/>
      <c r="I163" s="23" t="s">
        <v>6</v>
      </c>
      <c r="J163" s="23" t="s">
        <v>6</v>
      </c>
      <c r="K163" s="23" t="s">
        <v>6</v>
      </c>
      <c r="L163" s="42">
        <f>SUM(L164:L167)</f>
        <v>0</v>
      </c>
      <c r="M163" s="42">
        <f>SUM(M164:M167)</f>
        <v>0</v>
      </c>
      <c r="N163" s="45">
        <f>SUM(N164:N167)</f>
        <v>0</v>
      </c>
      <c r="O163" s="7"/>
      <c r="AI163" s="35" t="s">
        <v>208</v>
      </c>
      <c r="AS163" s="42">
        <f>SUM(AJ164:AJ167)</f>
        <v>0</v>
      </c>
      <c r="AT163" s="42">
        <f>SUM(AK164:AK167)</f>
        <v>0</v>
      </c>
      <c r="AU163" s="42">
        <f>SUM(AL164:AL167)</f>
        <v>0</v>
      </c>
    </row>
    <row r="164" spans="1:64" ht="12.75">
      <c r="A164" s="5" t="s">
        <v>128</v>
      </c>
      <c r="B164" s="16" t="s">
        <v>208</v>
      </c>
      <c r="C164" s="16" t="s">
        <v>229</v>
      </c>
      <c r="D164" s="127" t="s">
        <v>351</v>
      </c>
      <c r="E164" s="128"/>
      <c r="F164" s="128"/>
      <c r="G164" s="128"/>
      <c r="H164" s="128"/>
      <c r="I164" s="16" t="s">
        <v>461</v>
      </c>
      <c r="J164" s="26">
        <v>57</v>
      </c>
      <c r="K164" s="26">
        <v>0</v>
      </c>
      <c r="L164" s="26">
        <f>J164*AO164</f>
        <v>0</v>
      </c>
      <c r="M164" s="26">
        <f>J164*AP164</f>
        <v>0</v>
      </c>
      <c r="N164" s="46">
        <f>J164*K164</f>
        <v>0</v>
      </c>
      <c r="O164" s="7"/>
      <c r="Z164" s="36">
        <f>IF(AQ164="5",BJ164,0)</f>
        <v>0</v>
      </c>
      <c r="AB164" s="36">
        <f>IF(AQ164="1",BH164,0)</f>
        <v>0</v>
      </c>
      <c r="AC164" s="36">
        <f>IF(AQ164="1",BI164,0)</f>
        <v>0</v>
      </c>
      <c r="AD164" s="36">
        <f>IF(AQ164="7",BH164,0)</f>
        <v>0</v>
      </c>
      <c r="AE164" s="36">
        <f>IF(AQ164="7",BI164,0)</f>
        <v>0</v>
      </c>
      <c r="AF164" s="36">
        <f>IF(AQ164="2",BH164,0)</f>
        <v>0</v>
      </c>
      <c r="AG164" s="36">
        <f>IF(AQ164="2",BI164,0)</f>
        <v>0</v>
      </c>
      <c r="AH164" s="36">
        <f>IF(AQ164="0",BJ164,0)</f>
        <v>0</v>
      </c>
      <c r="AI164" s="35" t="s">
        <v>208</v>
      </c>
      <c r="AJ164" s="26">
        <f>IF(AN164=0,N164,0)</f>
        <v>0</v>
      </c>
      <c r="AK164" s="26">
        <f>IF(AN164=15,N164,0)</f>
        <v>0</v>
      </c>
      <c r="AL164" s="26">
        <f>IF(AN164=21,N164,0)</f>
        <v>0</v>
      </c>
      <c r="AN164" s="36">
        <v>21</v>
      </c>
      <c r="AO164" s="36">
        <f>K164*0.215968289920725</f>
        <v>0</v>
      </c>
      <c r="AP164" s="36">
        <f>K164*(1-0.215968289920725)</f>
        <v>0</v>
      </c>
      <c r="AQ164" s="37" t="s">
        <v>7</v>
      </c>
      <c r="AV164" s="36">
        <f>AW164+AX164</f>
        <v>0</v>
      </c>
      <c r="AW164" s="36">
        <f>J164*AO164</f>
        <v>0</v>
      </c>
      <c r="AX164" s="36">
        <f>J164*AP164</f>
        <v>0</v>
      </c>
      <c r="AY164" s="39" t="s">
        <v>491</v>
      </c>
      <c r="AZ164" s="39" t="s">
        <v>514</v>
      </c>
      <c r="BA164" s="35" t="s">
        <v>521</v>
      </c>
      <c r="BC164" s="36">
        <f>AW164+AX164</f>
        <v>0</v>
      </c>
      <c r="BD164" s="36">
        <f>K164/(100-BE164)*100</f>
        <v>0</v>
      </c>
      <c r="BE164" s="36">
        <v>0</v>
      </c>
      <c r="BF164" s="36">
        <f>164</f>
        <v>164</v>
      </c>
      <c r="BH164" s="26">
        <f>J164*AO164</f>
        <v>0</v>
      </c>
      <c r="BI164" s="26">
        <f>J164*AP164</f>
        <v>0</v>
      </c>
      <c r="BJ164" s="26">
        <f>J164*K164</f>
        <v>0</v>
      </c>
      <c r="BK164" s="26" t="s">
        <v>526</v>
      </c>
      <c r="BL164" s="36">
        <v>6</v>
      </c>
    </row>
    <row r="165" spans="1:64" ht="12.75">
      <c r="A165" s="5" t="s">
        <v>129</v>
      </c>
      <c r="B165" s="16" t="s">
        <v>208</v>
      </c>
      <c r="C165" s="16" t="s">
        <v>230</v>
      </c>
      <c r="D165" s="127" t="s">
        <v>352</v>
      </c>
      <c r="E165" s="128"/>
      <c r="F165" s="128"/>
      <c r="G165" s="128"/>
      <c r="H165" s="128"/>
      <c r="I165" s="16" t="s">
        <v>460</v>
      </c>
      <c r="J165" s="26">
        <v>88.89</v>
      </c>
      <c r="K165" s="26">
        <v>0</v>
      </c>
      <c r="L165" s="26">
        <f>J165*AO165</f>
        <v>0</v>
      </c>
      <c r="M165" s="26">
        <f>J165*AP165</f>
        <v>0</v>
      </c>
      <c r="N165" s="46">
        <f>J165*K165</f>
        <v>0</v>
      </c>
      <c r="O165" s="7"/>
      <c r="Z165" s="36">
        <f>IF(AQ165="5",BJ165,0)</f>
        <v>0</v>
      </c>
      <c r="AB165" s="36">
        <f>IF(AQ165="1",BH165,0)</f>
        <v>0</v>
      </c>
      <c r="AC165" s="36">
        <f>IF(AQ165="1",BI165,0)</f>
        <v>0</v>
      </c>
      <c r="AD165" s="36">
        <f>IF(AQ165="7",BH165,0)</f>
        <v>0</v>
      </c>
      <c r="AE165" s="36">
        <f>IF(AQ165="7",BI165,0)</f>
        <v>0</v>
      </c>
      <c r="AF165" s="36">
        <f>IF(AQ165="2",BH165,0)</f>
        <v>0</v>
      </c>
      <c r="AG165" s="36">
        <f>IF(AQ165="2",BI165,0)</f>
        <v>0</v>
      </c>
      <c r="AH165" s="36">
        <f>IF(AQ165="0",BJ165,0)</f>
        <v>0</v>
      </c>
      <c r="AI165" s="35" t="s">
        <v>208</v>
      </c>
      <c r="AJ165" s="26">
        <f>IF(AN165=0,N165,0)</f>
        <v>0</v>
      </c>
      <c r="AK165" s="26">
        <f>IF(AN165=15,N165,0)</f>
        <v>0</v>
      </c>
      <c r="AL165" s="26">
        <f>IF(AN165=21,N165,0)</f>
        <v>0</v>
      </c>
      <c r="AN165" s="36">
        <v>21</v>
      </c>
      <c r="AO165" s="36">
        <f>K165*0.158764940239044</f>
        <v>0</v>
      </c>
      <c r="AP165" s="36">
        <f>K165*(1-0.158764940239044)</f>
        <v>0</v>
      </c>
      <c r="AQ165" s="37" t="s">
        <v>7</v>
      </c>
      <c r="AV165" s="36">
        <f>AW165+AX165</f>
        <v>0</v>
      </c>
      <c r="AW165" s="36">
        <f>J165*AO165</f>
        <v>0</v>
      </c>
      <c r="AX165" s="36">
        <f>J165*AP165</f>
        <v>0</v>
      </c>
      <c r="AY165" s="39" t="s">
        <v>491</v>
      </c>
      <c r="AZ165" s="39" t="s">
        <v>514</v>
      </c>
      <c r="BA165" s="35" t="s">
        <v>521</v>
      </c>
      <c r="BC165" s="36">
        <f>AW165+AX165</f>
        <v>0</v>
      </c>
      <c r="BD165" s="36">
        <f>K165/(100-BE165)*100</f>
        <v>0</v>
      </c>
      <c r="BE165" s="36">
        <v>0</v>
      </c>
      <c r="BF165" s="36">
        <f>165</f>
        <v>165</v>
      </c>
      <c r="BH165" s="26">
        <f>J165*AO165</f>
        <v>0</v>
      </c>
      <c r="BI165" s="26">
        <f>J165*AP165</f>
        <v>0</v>
      </c>
      <c r="BJ165" s="26">
        <f>J165*K165</f>
        <v>0</v>
      </c>
      <c r="BK165" s="26" t="s">
        <v>526</v>
      </c>
      <c r="BL165" s="36">
        <v>6</v>
      </c>
    </row>
    <row r="166" spans="1:15" ht="12.75">
      <c r="A166" s="7"/>
      <c r="C166" s="20" t="s">
        <v>205</v>
      </c>
      <c r="D166" s="135" t="s">
        <v>353</v>
      </c>
      <c r="E166" s="136"/>
      <c r="F166" s="136"/>
      <c r="G166" s="136"/>
      <c r="H166" s="136"/>
      <c r="I166" s="136"/>
      <c r="J166" s="136"/>
      <c r="K166" s="136"/>
      <c r="L166" s="136"/>
      <c r="M166" s="136"/>
      <c r="N166" s="137"/>
      <c r="O166" s="7"/>
    </row>
    <row r="167" spans="1:64" ht="12.75">
      <c r="A167" s="5" t="s">
        <v>130</v>
      </c>
      <c r="B167" s="16" t="s">
        <v>208</v>
      </c>
      <c r="C167" s="16" t="s">
        <v>231</v>
      </c>
      <c r="D167" s="127" t="s">
        <v>354</v>
      </c>
      <c r="E167" s="128"/>
      <c r="F167" s="128"/>
      <c r="G167" s="128"/>
      <c r="H167" s="128"/>
      <c r="I167" s="16" t="s">
        <v>461</v>
      </c>
      <c r="J167" s="26">
        <v>141.6</v>
      </c>
      <c r="K167" s="26">
        <v>0</v>
      </c>
      <c r="L167" s="26">
        <f>J167*AO167</f>
        <v>0</v>
      </c>
      <c r="M167" s="26">
        <f>J167*AP167</f>
        <v>0</v>
      </c>
      <c r="N167" s="46">
        <f>J167*K167</f>
        <v>0</v>
      </c>
      <c r="O167" s="7"/>
      <c r="Z167" s="36">
        <f>IF(AQ167="5",BJ167,0)</f>
        <v>0</v>
      </c>
      <c r="AB167" s="36">
        <f>IF(AQ167="1",BH167,0)</f>
        <v>0</v>
      </c>
      <c r="AC167" s="36">
        <f>IF(AQ167="1",BI167,0)</f>
        <v>0</v>
      </c>
      <c r="AD167" s="36">
        <f>IF(AQ167="7",BH167,0)</f>
        <v>0</v>
      </c>
      <c r="AE167" s="36">
        <f>IF(AQ167="7",BI167,0)</f>
        <v>0</v>
      </c>
      <c r="AF167" s="36">
        <f>IF(AQ167="2",BH167,0)</f>
        <v>0</v>
      </c>
      <c r="AG167" s="36">
        <f>IF(AQ167="2",BI167,0)</f>
        <v>0</v>
      </c>
      <c r="AH167" s="36">
        <f>IF(AQ167="0",BJ167,0)</f>
        <v>0</v>
      </c>
      <c r="AI167" s="35" t="s">
        <v>208</v>
      </c>
      <c r="AJ167" s="26">
        <f>IF(AN167=0,N167,0)</f>
        <v>0</v>
      </c>
      <c r="AK167" s="26">
        <f>IF(AN167=15,N167,0)</f>
        <v>0</v>
      </c>
      <c r="AL167" s="26">
        <f>IF(AN167=21,N167,0)</f>
        <v>0</v>
      </c>
      <c r="AN167" s="36">
        <v>21</v>
      </c>
      <c r="AO167" s="36">
        <f>K167*0</f>
        <v>0</v>
      </c>
      <c r="AP167" s="36">
        <f>K167*(1-0)</f>
        <v>0</v>
      </c>
      <c r="AQ167" s="37" t="s">
        <v>7</v>
      </c>
      <c r="AV167" s="36">
        <f>AW167+AX167</f>
        <v>0</v>
      </c>
      <c r="AW167" s="36">
        <f>J167*AO167</f>
        <v>0</v>
      </c>
      <c r="AX167" s="36">
        <f>J167*AP167</f>
        <v>0</v>
      </c>
      <c r="AY167" s="39" t="s">
        <v>491</v>
      </c>
      <c r="AZ167" s="39" t="s">
        <v>514</v>
      </c>
      <c r="BA167" s="35" t="s">
        <v>521</v>
      </c>
      <c r="BC167" s="36">
        <f>AW167+AX167</f>
        <v>0</v>
      </c>
      <c r="BD167" s="36">
        <f>K167/(100-BE167)*100</f>
        <v>0</v>
      </c>
      <c r="BE167" s="36">
        <v>0</v>
      </c>
      <c r="BF167" s="36">
        <f>167</f>
        <v>167</v>
      </c>
      <c r="BH167" s="26">
        <f>J167*AO167</f>
        <v>0</v>
      </c>
      <c r="BI167" s="26">
        <f>J167*AP167</f>
        <v>0</v>
      </c>
      <c r="BJ167" s="26">
        <f>J167*K167</f>
        <v>0</v>
      </c>
      <c r="BK167" s="26" t="s">
        <v>526</v>
      </c>
      <c r="BL167" s="36">
        <v>6</v>
      </c>
    </row>
    <row r="168" spans="1:47" ht="12.75">
      <c r="A168" s="4"/>
      <c r="B168" s="15" t="s">
        <v>208</v>
      </c>
      <c r="C168" s="15" t="s">
        <v>232</v>
      </c>
      <c r="D168" s="129" t="s">
        <v>355</v>
      </c>
      <c r="E168" s="130"/>
      <c r="F168" s="130"/>
      <c r="G168" s="130"/>
      <c r="H168" s="130"/>
      <c r="I168" s="23" t="s">
        <v>6</v>
      </c>
      <c r="J168" s="23" t="s">
        <v>6</v>
      </c>
      <c r="K168" s="23" t="s">
        <v>6</v>
      </c>
      <c r="L168" s="42">
        <f>SUM(L169:L178)</f>
        <v>0</v>
      </c>
      <c r="M168" s="42">
        <f>SUM(M169:M178)</f>
        <v>0</v>
      </c>
      <c r="N168" s="45">
        <f>SUM(N169:N178)</f>
        <v>0</v>
      </c>
      <c r="O168" s="7"/>
      <c r="AI168" s="35" t="s">
        <v>208</v>
      </c>
      <c r="AS168" s="42">
        <f>SUM(AJ169:AJ178)</f>
        <v>0</v>
      </c>
      <c r="AT168" s="42">
        <f>SUM(AK169:AK178)</f>
        <v>0</v>
      </c>
      <c r="AU168" s="42">
        <f>SUM(AL169:AL178)</f>
        <v>0</v>
      </c>
    </row>
    <row r="169" spans="1:64" ht="12.75">
      <c r="A169" s="5" t="s">
        <v>131</v>
      </c>
      <c r="B169" s="16" t="s">
        <v>208</v>
      </c>
      <c r="C169" s="16" t="s">
        <v>233</v>
      </c>
      <c r="D169" s="127" t="s">
        <v>356</v>
      </c>
      <c r="E169" s="128"/>
      <c r="F169" s="128"/>
      <c r="G169" s="128"/>
      <c r="H169" s="128"/>
      <c r="I169" s="16" t="s">
        <v>461</v>
      </c>
      <c r="J169" s="26">
        <v>15</v>
      </c>
      <c r="K169" s="26">
        <v>0</v>
      </c>
      <c r="L169" s="26">
        <f aca="true" t="shared" si="200" ref="L169:L178">J169*AO169</f>
        <v>0</v>
      </c>
      <c r="M169" s="26">
        <f aca="true" t="shared" si="201" ref="M169:M178">J169*AP169</f>
        <v>0</v>
      </c>
      <c r="N169" s="46">
        <f aca="true" t="shared" si="202" ref="N169:N178">J169*K169</f>
        <v>0</v>
      </c>
      <c r="O169" s="7"/>
      <c r="Z169" s="36">
        <f aca="true" t="shared" si="203" ref="Z169:Z178">IF(AQ169="5",BJ169,0)</f>
        <v>0</v>
      </c>
      <c r="AB169" s="36">
        <f aca="true" t="shared" si="204" ref="AB169:AB178">IF(AQ169="1",BH169,0)</f>
        <v>0</v>
      </c>
      <c r="AC169" s="36">
        <f aca="true" t="shared" si="205" ref="AC169:AC178">IF(AQ169="1",BI169,0)</f>
        <v>0</v>
      </c>
      <c r="AD169" s="36">
        <f aca="true" t="shared" si="206" ref="AD169:AD178">IF(AQ169="7",BH169,0)</f>
        <v>0</v>
      </c>
      <c r="AE169" s="36">
        <f aca="true" t="shared" si="207" ref="AE169:AE178">IF(AQ169="7",BI169,0)</f>
        <v>0</v>
      </c>
      <c r="AF169" s="36">
        <f aca="true" t="shared" si="208" ref="AF169:AF178">IF(AQ169="2",BH169,0)</f>
        <v>0</v>
      </c>
      <c r="AG169" s="36">
        <f aca="true" t="shared" si="209" ref="AG169:AG178">IF(AQ169="2",BI169,0)</f>
        <v>0</v>
      </c>
      <c r="AH169" s="36">
        <f aca="true" t="shared" si="210" ref="AH169:AH178">IF(AQ169="0",BJ169,0)</f>
        <v>0</v>
      </c>
      <c r="AI169" s="35" t="s">
        <v>208</v>
      </c>
      <c r="AJ169" s="26">
        <f aca="true" t="shared" si="211" ref="AJ169:AJ178">IF(AN169=0,N169,0)</f>
        <v>0</v>
      </c>
      <c r="AK169" s="26">
        <f aca="true" t="shared" si="212" ref="AK169:AK178">IF(AN169=15,N169,0)</f>
        <v>0</v>
      </c>
      <c r="AL169" s="26">
        <f aca="true" t="shared" si="213" ref="AL169:AL178">IF(AN169=21,N169,0)</f>
        <v>0</v>
      </c>
      <c r="AN169" s="36">
        <v>21</v>
      </c>
      <c r="AO169" s="36">
        <f>K169*0.3605949517337</f>
        <v>0</v>
      </c>
      <c r="AP169" s="36">
        <f>K169*(1-0.3605949517337)</f>
        <v>0</v>
      </c>
      <c r="AQ169" s="37" t="s">
        <v>13</v>
      </c>
      <c r="AV169" s="36">
        <f aca="true" t="shared" si="214" ref="AV169:AV178">AW169+AX169</f>
        <v>0</v>
      </c>
      <c r="AW169" s="36">
        <f aca="true" t="shared" si="215" ref="AW169:AW178">J169*AO169</f>
        <v>0</v>
      </c>
      <c r="AX169" s="36">
        <f aca="true" t="shared" si="216" ref="AX169:AX178">J169*AP169</f>
        <v>0</v>
      </c>
      <c r="AY169" s="39" t="s">
        <v>492</v>
      </c>
      <c r="AZ169" s="39" t="s">
        <v>515</v>
      </c>
      <c r="BA169" s="35" t="s">
        <v>521</v>
      </c>
      <c r="BC169" s="36">
        <f aca="true" t="shared" si="217" ref="BC169:BC178">AW169+AX169</f>
        <v>0</v>
      </c>
      <c r="BD169" s="36">
        <f aca="true" t="shared" si="218" ref="BD169:BD178">K169/(100-BE169)*100</f>
        <v>0</v>
      </c>
      <c r="BE169" s="36">
        <v>0</v>
      </c>
      <c r="BF169" s="36">
        <f>169</f>
        <v>169</v>
      </c>
      <c r="BH169" s="26">
        <f aca="true" t="shared" si="219" ref="BH169:BH178">J169*AO169</f>
        <v>0</v>
      </c>
      <c r="BI169" s="26">
        <f aca="true" t="shared" si="220" ref="BI169:BI178">J169*AP169</f>
        <v>0</v>
      </c>
      <c r="BJ169" s="26">
        <f aca="true" t="shared" si="221" ref="BJ169:BJ178">J169*K169</f>
        <v>0</v>
      </c>
      <c r="BK169" s="26" t="s">
        <v>526</v>
      </c>
      <c r="BL169" s="36">
        <v>721</v>
      </c>
    </row>
    <row r="170" spans="1:64" ht="12.75">
      <c r="A170" s="5" t="s">
        <v>132</v>
      </c>
      <c r="B170" s="16" t="s">
        <v>208</v>
      </c>
      <c r="C170" s="16" t="s">
        <v>234</v>
      </c>
      <c r="D170" s="127" t="s">
        <v>357</v>
      </c>
      <c r="E170" s="128"/>
      <c r="F170" s="128"/>
      <c r="G170" s="128"/>
      <c r="H170" s="128"/>
      <c r="I170" s="16" t="s">
        <v>461</v>
      </c>
      <c r="J170" s="26">
        <v>9</v>
      </c>
      <c r="K170" s="26">
        <v>0</v>
      </c>
      <c r="L170" s="26">
        <f t="shared" si="200"/>
        <v>0</v>
      </c>
      <c r="M170" s="26">
        <f t="shared" si="201"/>
        <v>0</v>
      </c>
      <c r="N170" s="46">
        <f t="shared" si="202"/>
        <v>0</v>
      </c>
      <c r="O170" s="7"/>
      <c r="Z170" s="36">
        <f t="shared" si="203"/>
        <v>0</v>
      </c>
      <c r="AB170" s="36">
        <f t="shared" si="204"/>
        <v>0</v>
      </c>
      <c r="AC170" s="36">
        <f t="shared" si="205"/>
        <v>0</v>
      </c>
      <c r="AD170" s="36">
        <f t="shared" si="206"/>
        <v>0</v>
      </c>
      <c r="AE170" s="36">
        <f t="shared" si="207"/>
        <v>0</v>
      </c>
      <c r="AF170" s="36">
        <f t="shared" si="208"/>
        <v>0</v>
      </c>
      <c r="AG170" s="36">
        <f t="shared" si="209"/>
        <v>0</v>
      </c>
      <c r="AH170" s="36">
        <f t="shared" si="210"/>
        <v>0</v>
      </c>
      <c r="AI170" s="35" t="s">
        <v>208</v>
      </c>
      <c r="AJ170" s="26">
        <f t="shared" si="211"/>
        <v>0</v>
      </c>
      <c r="AK170" s="26">
        <f t="shared" si="212"/>
        <v>0</v>
      </c>
      <c r="AL170" s="26">
        <f t="shared" si="213"/>
        <v>0</v>
      </c>
      <c r="AN170" s="36">
        <v>21</v>
      </c>
      <c r="AO170" s="36">
        <f>K170*0.378966666666667</f>
        <v>0</v>
      </c>
      <c r="AP170" s="36">
        <f>K170*(1-0.378966666666667)</f>
        <v>0</v>
      </c>
      <c r="AQ170" s="37" t="s">
        <v>13</v>
      </c>
      <c r="AV170" s="36">
        <f t="shared" si="214"/>
        <v>0</v>
      </c>
      <c r="AW170" s="36">
        <f t="shared" si="215"/>
        <v>0</v>
      </c>
      <c r="AX170" s="36">
        <f t="shared" si="216"/>
        <v>0</v>
      </c>
      <c r="AY170" s="39" t="s">
        <v>492</v>
      </c>
      <c r="AZ170" s="39" t="s">
        <v>515</v>
      </c>
      <c r="BA170" s="35" t="s">
        <v>521</v>
      </c>
      <c r="BC170" s="36">
        <f t="shared" si="217"/>
        <v>0</v>
      </c>
      <c r="BD170" s="36">
        <f t="shared" si="218"/>
        <v>0</v>
      </c>
      <c r="BE170" s="36">
        <v>0</v>
      </c>
      <c r="BF170" s="36">
        <f>170</f>
        <v>170</v>
      </c>
      <c r="BH170" s="26">
        <f t="shared" si="219"/>
        <v>0</v>
      </c>
      <c r="BI170" s="26">
        <f t="shared" si="220"/>
        <v>0</v>
      </c>
      <c r="BJ170" s="26">
        <f t="shared" si="221"/>
        <v>0</v>
      </c>
      <c r="BK170" s="26" t="s">
        <v>526</v>
      </c>
      <c r="BL170" s="36">
        <v>721</v>
      </c>
    </row>
    <row r="171" spans="1:64" ht="12.75">
      <c r="A171" s="5" t="s">
        <v>133</v>
      </c>
      <c r="B171" s="16" t="s">
        <v>208</v>
      </c>
      <c r="C171" s="16" t="s">
        <v>235</v>
      </c>
      <c r="D171" s="127" t="s">
        <v>358</v>
      </c>
      <c r="E171" s="128"/>
      <c r="F171" s="128"/>
      <c r="G171" s="128"/>
      <c r="H171" s="128"/>
      <c r="I171" s="16" t="s">
        <v>462</v>
      </c>
      <c r="J171" s="26">
        <v>6</v>
      </c>
      <c r="K171" s="26">
        <v>0</v>
      </c>
      <c r="L171" s="26">
        <f t="shared" si="200"/>
        <v>0</v>
      </c>
      <c r="M171" s="26">
        <f t="shared" si="201"/>
        <v>0</v>
      </c>
      <c r="N171" s="46">
        <f t="shared" si="202"/>
        <v>0</v>
      </c>
      <c r="O171" s="7"/>
      <c r="Z171" s="36">
        <f t="shared" si="203"/>
        <v>0</v>
      </c>
      <c r="AB171" s="36">
        <f t="shared" si="204"/>
        <v>0</v>
      </c>
      <c r="AC171" s="36">
        <f t="shared" si="205"/>
        <v>0</v>
      </c>
      <c r="AD171" s="36">
        <f t="shared" si="206"/>
        <v>0</v>
      </c>
      <c r="AE171" s="36">
        <f t="shared" si="207"/>
        <v>0</v>
      </c>
      <c r="AF171" s="36">
        <f t="shared" si="208"/>
        <v>0</v>
      </c>
      <c r="AG171" s="36">
        <f t="shared" si="209"/>
        <v>0</v>
      </c>
      <c r="AH171" s="36">
        <f t="shared" si="210"/>
        <v>0</v>
      </c>
      <c r="AI171" s="35" t="s">
        <v>208</v>
      </c>
      <c r="AJ171" s="26">
        <f t="shared" si="211"/>
        <v>0</v>
      </c>
      <c r="AK171" s="26">
        <f t="shared" si="212"/>
        <v>0</v>
      </c>
      <c r="AL171" s="26">
        <f t="shared" si="213"/>
        <v>0</v>
      </c>
      <c r="AN171" s="36">
        <v>21</v>
      </c>
      <c r="AO171" s="36">
        <f>K171*0</f>
        <v>0</v>
      </c>
      <c r="AP171" s="36">
        <f>K171*(1-0)</f>
        <v>0</v>
      </c>
      <c r="AQ171" s="37" t="s">
        <v>13</v>
      </c>
      <c r="AV171" s="36">
        <f t="shared" si="214"/>
        <v>0</v>
      </c>
      <c r="AW171" s="36">
        <f t="shared" si="215"/>
        <v>0</v>
      </c>
      <c r="AX171" s="36">
        <f t="shared" si="216"/>
        <v>0</v>
      </c>
      <c r="AY171" s="39" t="s">
        <v>492</v>
      </c>
      <c r="AZ171" s="39" t="s">
        <v>515</v>
      </c>
      <c r="BA171" s="35" t="s">
        <v>521</v>
      </c>
      <c r="BC171" s="36">
        <f t="shared" si="217"/>
        <v>0</v>
      </c>
      <c r="BD171" s="36">
        <f t="shared" si="218"/>
        <v>0</v>
      </c>
      <c r="BE171" s="36">
        <v>0</v>
      </c>
      <c r="BF171" s="36">
        <f>171</f>
        <v>171</v>
      </c>
      <c r="BH171" s="26">
        <f t="shared" si="219"/>
        <v>0</v>
      </c>
      <c r="BI171" s="26">
        <f t="shared" si="220"/>
        <v>0</v>
      </c>
      <c r="BJ171" s="26">
        <f t="shared" si="221"/>
        <v>0</v>
      </c>
      <c r="BK171" s="26" t="s">
        <v>526</v>
      </c>
      <c r="BL171" s="36">
        <v>721</v>
      </c>
    </row>
    <row r="172" spans="1:64" ht="12.75">
      <c r="A172" s="5" t="s">
        <v>134</v>
      </c>
      <c r="B172" s="16" t="s">
        <v>208</v>
      </c>
      <c r="C172" s="16" t="s">
        <v>236</v>
      </c>
      <c r="D172" s="127" t="s">
        <v>359</v>
      </c>
      <c r="E172" s="128"/>
      <c r="F172" s="128"/>
      <c r="G172" s="128"/>
      <c r="H172" s="128"/>
      <c r="I172" s="16" t="s">
        <v>462</v>
      </c>
      <c r="J172" s="26">
        <v>3</v>
      </c>
      <c r="K172" s="26">
        <v>0</v>
      </c>
      <c r="L172" s="26">
        <f t="shared" si="200"/>
        <v>0</v>
      </c>
      <c r="M172" s="26">
        <f t="shared" si="201"/>
        <v>0</v>
      </c>
      <c r="N172" s="46">
        <f t="shared" si="202"/>
        <v>0</v>
      </c>
      <c r="O172" s="7"/>
      <c r="Z172" s="36">
        <f t="shared" si="203"/>
        <v>0</v>
      </c>
      <c r="AB172" s="36">
        <f t="shared" si="204"/>
        <v>0</v>
      </c>
      <c r="AC172" s="36">
        <f t="shared" si="205"/>
        <v>0</v>
      </c>
      <c r="AD172" s="36">
        <f t="shared" si="206"/>
        <v>0</v>
      </c>
      <c r="AE172" s="36">
        <f t="shared" si="207"/>
        <v>0</v>
      </c>
      <c r="AF172" s="36">
        <f t="shared" si="208"/>
        <v>0</v>
      </c>
      <c r="AG172" s="36">
        <f t="shared" si="209"/>
        <v>0</v>
      </c>
      <c r="AH172" s="36">
        <f t="shared" si="210"/>
        <v>0</v>
      </c>
      <c r="AI172" s="35" t="s">
        <v>208</v>
      </c>
      <c r="AJ172" s="26">
        <f t="shared" si="211"/>
        <v>0</v>
      </c>
      <c r="AK172" s="26">
        <f t="shared" si="212"/>
        <v>0</v>
      </c>
      <c r="AL172" s="26">
        <f t="shared" si="213"/>
        <v>0</v>
      </c>
      <c r="AN172" s="36">
        <v>21</v>
      </c>
      <c r="AO172" s="36">
        <f>K172*0</f>
        <v>0</v>
      </c>
      <c r="AP172" s="36">
        <f>K172*(1-0)</f>
        <v>0</v>
      </c>
      <c r="AQ172" s="37" t="s">
        <v>13</v>
      </c>
      <c r="AV172" s="36">
        <f t="shared" si="214"/>
        <v>0</v>
      </c>
      <c r="AW172" s="36">
        <f t="shared" si="215"/>
        <v>0</v>
      </c>
      <c r="AX172" s="36">
        <f t="shared" si="216"/>
        <v>0</v>
      </c>
      <c r="AY172" s="39" t="s">
        <v>492</v>
      </c>
      <c r="AZ172" s="39" t="s">
        <v>515</v>
      </c>
      <c r="BA172" s="35" t="s">
        <v>521</v>
      </c>
      <c r="BC172" s="36">
        <f t="shared" si="217"/>
        <v>0</v>
      </c>
      <c r="BD172" s="36">
        <f t="shared" si="218"/>
        <v>0</v>
      </c>
      <c r="BE172" s="36">
        <v>0</v>
      </c>
      <c r="BF172" s="36">
        <f>172</f>
        <v>172</v>
      </c>
      <c r="BH172" s="26">
        <f t="shared" si="219"/>
        <v>0</v>
      </c>
      <c r="BI172" s="26">
        <f t="shared" si="220"/>
        <v>0</v>
      </c>
      <c r="BJ172" s="26">
        <f t="shared" si="221"/>
        <v>0</v>
      </c>
      <c r="BK172" s="26" t="s">
        <v>526</v>
      </c>
      <c r="BL172" s="36">
        <v>721</v>
      </c>
    </row>
    <row r="173" spans="1:64" ht="12.75">
      <c r="A173" s="5" t="s">
        <v>135</v>
      </c>
      <c r="B173" s="16" t="s">
        <v>208</v>
      </c>
      <c r="C173" s="16" t="s">
        <v>237</v>
      </c>
      <c r="D173" s="127" t="s">
        <v>360</v>
      </c>
      <c r="E173" s="128"/>
      <c r="F173" s="128"/>
      <c r="G173" s="128"/>
      <c r="H173" s="128"/>
      <c r="I173" s="16" t="s">
        <v>462</v>
      </c>
      <c r="J173" s="26">
        <v>2</v>
      </c>
      <c r="K173" s="26">
        <v>0</v>
      </c>
      <c r="L173" s="26">
        <f t="shared" si="200"/>
        <v>0</v>
      </c>
      <c r="M173" s="26">
        <f t="shared" si="201"/>
        <v>0</v>
      </c>
      <c r="N173" s="46">
        <f t="shared" si="202"/>
        <v>0</v>
      </c>
      <c r="O173" s="7"/>
      <c r="Z173" s="36">
        <f t="shared" si="203"/>
        <v>0</v>
      </c>
      <c r="AB173" s="36">
        <f t="shared" si="204"/>
        <v>0</v>
      </c>
      <c r="AC173" s="36">
        <f t="shared" si="205"/>
        <v>0</v>
      </c>
      <c r="AD173" s="36">
        <f t="shared" si="206"/>
        <v>0</v>
      </c>
      <c r="AE173" s="36">
        <f t="shared" si="207"/>
        <v>0</v>
      </c>
      <c r="AF173" s="36">
        <f t="shared" si="208"/>
        <v>0</v>
      </c>
      <c r="AG173" s="36">
        <f t="shared" si="209"/>
        <v>0</v>
      </c>
      <c r="AH173" s="36">
        <f t="shared" si="210"/>
        <v>0</v>
      </c>
      <c r="AI173" s="35" t="s">
        <v>208</v>
      </c>
      <c r="AJ173" s="26">
        <f t="shared" si="211"/>
        <v>0</v>
      </c>
      <c r="AK173" s="26">
        <f t="shared" si="212"/>
        <v>0</v>
      </c>
      <c r="AL173" s="26">
        <f t="shared" si="213"/>
        <v>0</v>
      </c>
      <c r="AN173" s="36">
        <v>21</v>
      </c>
      <c r="AO173" s="36">
        <f>K173*0.230150468439481</f>
        <v>0</v>
      </c>
      <c r="AP173" s="36">
        <f>K173*(1-0.230150468439481)</f>
        <v>0</v>
      </c>
      <c r="AQ173" s="37" t="s">
        <v>13</v>
      </c>
      <c r="AV173" s="36">
        <f t="shared" si="214"/>
        <v>0</v>
      </c>
      <c r="AW173" s="36">
        <f t="shared" si="215"/>
        <v>0</v>
      </c>
      <c r="AX173" s="36">
        <f t="shared" si="216"/>
        <v>0</v>
      </c>
      <c r="AY173" s="39" t="s">
        <v>492</v>
      </c>
      <c r="AZ173" s="39" t="s">
        <v>515</v>
      </c>
      <c r="BA173" s="35" t="s">
        <v>521</v>
      </c>
      <c r="BC173" s="36">
        <f t="shared" si="217"/>
        <v>0</v>
      </c>
      <c r="BD173" s="36">
        <f t="shared" si="218"/>
        <v>0</v>
      </c>
      <c r="BE173" s="36">
        <v>0</v>
      </c>
      <c r="BF173" s="36">
        <f>173</f>
        <v>173</v>
      </c>
      <c r="BH173" s="26">
        <f t="shared" si="219"/>
        <v>0</v>
      </c>
      <c r="BI173" s="26">
        <f t="shared" si="220"/>
        <v>0</v>
      </c>
      <c r="BJ173" s="26">
        <f t="shared" si="221"/>
        <v>0</v>
      </c>
      <c r="BK173" s="26" t="s">
        <v>526</v>
      </c>
      <c r="BL173" s="36">
        <v>721</v>
      </c>
    </row>
    <row r="174" spans="1:64" ht="12.75">
      <c r="A174" s="5" t="s">
        <v>136</v>
      </c>
      <c r="B174" s="16" t="s">
        <v>208</v>
      </c>
      <c r="C174" s="16" t="s">
        <v>238</v>
      </c>
      <c r="D174" s="127" t="s">
        <v>361</v>
      </c>
      <c r="E174" s="128"/>
      <c r="F174" s="128"/>
      <c r="G174" s="128"/>
      <c r="H174" s="128"/>
      <c r="I174" s="16" t="s">
        <v>462</v>
      </c>
      <c r="J174" s="26">
        <v>2</v>
      </c>
      <c r="K174" s="26">
        <v>0</v>
      </c>
      <c r="L174" s="26">
        <f t="shared" si="200"/>
        <v>0</v>
      </c>
      <c r="M174" s="26">
        <f t="shared" si="201"/>
        <v>0</v>
      </c>
      <c r="N174" s="46">
        <f t="shared" si="202"/>
        <v>0</v>
      </c>
      <c r="O174" s="7"/>
      <c r="Z174" s="36">
        <f t="shared" si="203"/>
        <v>0</v>
      </c>
      <c r="AB174" s="36">
        <f t="shared" si="204"/>
        <v>0</v>
      </c>
      <c r="AC174" s="36">
        <f t="shared" si="205"/>
        <v>0</v>
      </c>
      <c r="AD174" s="36">
        <f t="shared" si="206"/>
        <v>0</v>
      </c>
      <c r="AE174" s="36">
        <f t="shared" si="207"/>
        <v>0</v>
      </c>
      <c r="AF174" s="36">
        <f t="shared" si="208"/>
        <v>0</v>
      </c>
      <c r="AG174" s="36">
        <f t="shared" si="209"/>
        <v>0</v>
      </c>
      <c r="AH174" s="36">
        <f t="shared" si="210"/>
        <v>0</v>
      </c>
      <c r="AI174" s="35" t="s">
        <v>208</v>
      </c>
      <c r="AJ174" s="26">
        <f t="shared" si="211"/>
        <v>0</v>
      </c>
      <c r="AK174" s="26">
        <f t="shared" si="212"/>
        <v>0</v>
      </c>
      <c r="AL174" s="26">
        <f t="shared" si="213"/>
        <v>0</v>
      </c>
      <c r="AN174" s="36">
        <v>21</v>
      </c>
      <c r="AO174" s="36">
        <f>K174*0.196013824884793</f>
        <v>0</v>
      </c>
      <c r="AP174" s="36">
        <f>K174*(1-0.196013824884793)</f>
        <v>0</v>
      </c>
      <c r="AQ174" s="37" t="s">
        <v>13</v>
      </c>
      <c r="AV174" s="36">
        <f t="shared" si="214"/>
        <v>0</v>
      </c>
      <c r="AW174" s="36">
        <f t="shared" si="215"/>
        <v>0</v>
      </c>
      <c r="AX174" s="36">
        <f t="shared" si="216"/>
        <v>0</v>
      </c>
      <c r="AY174" s="39" t="s">
        <v>492</v>
      </c>
      <c r="AZ174" s="39" t="s">
        <v>515</v>
      </c>
      <c r="BA174" s="35" t="s">
        <v>521</v>
      </c>
      <c r="BC174" s="36">
        <f t="shared" si="217"/>
        <v>0</v>
      </c>
      <c r="BD174" s="36">
        <f t="shared" si="218"/>
        <v>0</v>
      </c>
      <c r="BE174" s="36">
        <v>0</v>
      </c>
      <c r="BF174" s="36">
        <f>174</f>
        <v>174</v>
      </c>
      <c r="BH174" s="26">
        <f t="shared" si="219"/>
        <v>0</v>
      </c>
      <c r="BI174" s="26">
        <f t="shared" si="220"/>
        <v>0</v>
      </c>
      <c r="BJ174" s="26">
        <f t="shared" si="221"/>
        <v>0</v>
      </c>
      <c r="BK174" s="26" t="s">
        <v>526</v>
      </c>
      <c r="BL174" s="36">
        <v>721</v>
      </c>
    </row>
    <row r="175" spans="1:64" ht="12.75">
      <c r="A175" s="5" t="s">
        <v>137</v>
      </c>
      <c r="B175" s="16" t="s">
        <v>208</v>
      </c>
      <c r="C175" s="16" t="s">
        <v>239</v>
      </c>
      <c r="D175" s="127" t="s">
        <v>362</v>
      </c>
      <c r="E175" s="128"/>
      <c r="F175" s="128"/>
      <c r="G175" s="128"/>
      <c r="H175" s="128"/>
      <c r="I175" s="16" t="s">
        <v>461</v>
      </c>
      <c r="J175" s="26">
        <v>24</v>
      </c>
      <c r="K175" s="26">
        <v>0</v>
      </c>
      <c r="L175" s="26">
        <f t="shared" si="200"/>
        <v>0</v>
      </c>
      <c r="M175" s="26">
        <f t="shared" si="201"/>
        <v>0</v>
      </c>
      <c r="N175" s="46">
        <f t="shared" si="202"/>
        <v>0</v>
      </c>
      <c r="O175" s="7"/>
      <c r="Z175" s="36">
        <f t="shared" si="203"/>
        <v>0</v>
      </c>
      <c r="AB175" s="36">
        <f t="shared" si="204"/>
        <v>0</v>
      </c>
      <c r="AC175" s="36">
        <f t="shared" si="205"/>
        <v>0</v>
      </c>
      <c r="AD175" s="36">
        <f t="shared" si="206"/>
        <v>0</v>
      </c>
      <c r="AE175" s="36">
        <f t="shared" si="207"/>
        <v>0</v>
      </c>
      <c r="AF175" s="36">
        <f t="shared" si="208"/>
        <v>0</v>
      </c>
      <c r="AG175" s="36">
        <f t="shared" si="209"/>
        <v>0</v>
      </c>
      <c r="AH175" s="36">
        <f t="shared" si="210"/>
        <v>0</v>
      </c>
      <c r="AI175" s="35" t="s">
        <v>208</v>
      </c>
      <c r="AJ175" s="26">
        <f t="shared" si="211"/>
        <v>0</v>
      </c>
      <c r="AK175" s="26">
        <f t="shared" si="212"/>
        <v>0</v>
      </c>
      <c r="AL175" s="26">
        <f t="shared" si="213"/>
        <v>0</v>
      </c>
      <c r="AN175" s="36">
        <v>21</v>
      </c>
      <c r="AO175" s="36">
        <f>K175*0</f>
        <v>0</v>
      </c>
      <c r="AP175" s="36">
        <f>K175*(1-0)</f>
        <v>0</v>
      </c>
      <c r="AQ175" s="37" t="s">
        <v>13</v>
      </c>
      <c r="AV175" s="36">
        <f t="shared" si="214"/>
        <v>0</v>
      </c>
      <c r="AW175" s="36">
        <f t="shared" si="215"/>
        <v>0</v>
      </c>
      <c r="AX175" s="36">
        <f t="shared" si="216"/>
        <v>0</v>
      </c>
      <c r="AY175" s="39" t="s">
        <v>492</v>
      </c>
      <c r="AZ175" s="39" t="s">
        <v>515</v>
      </c>
      <c r="BA175" s="35" t="s">
        <v>521</v>
      </c>
      <c r="BC175" s="36">
        <f t="shared" si="217"/>
        <v>0</v>
      </c>
      <c r="BD175" s="36">
        <f t="shared" si="218"/>
        <v>0</v>
      </c>
      <c r="BE175" s="36">
        <v>0</v>
      </c>
      <c r="BF175" s="36">
        <f>175</f>
        <v>175</v>
      </c>
      <c r="BH175" s="26">
        <f t="shared" si="219"/>
        <v>0</v>
      </c>
      <c r="BI175" s="26">
        <f t="shared" si="220"/>
        <v>0</v>
      </c>
      <c r="BJ175" s="26">
        <f t="shared" si="221"/>
        <v>0</v>
      </c>
      <c r="BK175" s="26" t="s">
        <v>526</v>
      </c>
      <c r="BL175" s="36">
        <v>721</v>
      </c>
    </row>
    <row r="176" spans="1:64" ht="12.75">
      <c r="A176" s="5" t="s">
        <v>138</v>
      </c>
      <c r="B176" s="16" t="s">
        <v>208</v>
      </c>
      <c r="C176" s="16" t="s">
        <v>241</v>
      </c>
      <c r="D176" s="127" t="s">
        <v>364</v>
      </c>
      <c r="E176" s="128"/>
      <c r="F176" s="128"/>
      <c r="G176" s="128"/>
      <c r="H176" s="128"/>
      <c r="I176" s="16" t="s">
        <v>462</v>
      </c>
      <c r="J176" s="26">
        <v>1</v>
      </c>
      <c r="K176" s="26">
        <v>0</v>
      </c>
      <c r="L176" s="26">
        <f t="shared" si="200"/>
        <v>0</v>
      </c>
      <c r="M176" s="26">
        <f t="shared" si="201"/>
        <v>0</v>
      </c>
      <c r="N176" s="46">
        <f t="shared" si="202"/>
        <v>0</v>
      </c>
      <c r="O176" s="7"/>
      <c r="Z176" s="36">
        <f t="shared" si="203"/>
        <v>0</v>
      </c>
      <c r="AB176" s="36">
        <f t="shared" si="204"/>
        <v>0</v>
      </c>
      <c r="AC176" s="36">
        <f t="shared" si="205"/>
        <v>0</v>
      </c>
      <c r="AD176" s="36">
        <f t="shared" si="206"/>
        <v>0</v>
      </c>
      <c r="AE176" s="36">
        <f t="shared" si="207"/>
        <v>0</v>
      </c>
      <c r="AF176" s="36">
        <f t="shared" si="208"/>
        <v>0</v>
      </c>
      <c r="AG176" s="36">
        <f t="shared" si="209"/>
        <v>0</v>
      </c>
      <c r="AH176" s="36">
        <f t="shared" si="210"/>
        <v>0</v>
      </c>
      <c r="AI176" s="35" t="s">
        <v>208</v>
      </c>
      <c r="AJ176" s="26">
        <f t="shared" si="211"/>
        <v>0</v>
      </c>
      <c r="AK176" s="26">
        <f t="shared" si="212"/>
        <v>0</v>
      </c>
      <c r="AL176" s="26">
        <f t="shared" si="213"/>
        <v>0</v>
      </c>
      <c r="AN176" s="36">
        <v>21</v>
      </c>
      <c r="AO176" s="36">
        <f>K176*0</f>
        <v>0</v>
      </c>
      <c r="AP176" s="36">
        <f>K176*(1-0)</f>
        <v>0</v>
      </c>
      <c r="AQ176" s="37" t="s">
        <v>13</v>
      </c>
      <c r="AV176" s="36">
        <f t="shared" si="214"/>
        <v>0</v>
      </c>
      <c r="AW176" s="36">
        <f t="shared" si="215"/>
        <v>0</v>
      </c>
      <c r="AX176" s="36">
        <f t="shared" si="216"/>
        <v>0</v>
      </c>
      <c r="AY176" s="39" t="s">
        <v>492</v>
      </c>
      <c r="AZ176" s="39" t="s">
        <v>515</v>
      </c>
      <c r="BA176" s="35" t="s">
        <v>521</v>
      </c>
      <c r="BC176" s="36">
        <f t="shared" si="217"/>
        <v>0</v>
      </c>
      <c r="BD176" s="36">
        <f t="shared" si="218"/>
        <v>0</v>
      </c>
      <c r="BE176" s="36">
        <v>0</v>
      </c>
      <c r="BF176" s="36">
        <f>176</f>
        <v>176</v>
      </c>
      <c r="BH176" s="26">
        <f t="shared" si="219"/>
        <v>0</v>
      </c>
      <c r="BI176" s="26">
        <f t="shared" si="220"/>
        <v>0</v>
      </c>
      <c r="BJ176" s="26">
        <f t="shared" si="221"/>
        <v>0</v>
      </c>
      <c r="BK176" s="26" t="s">
        <v>526</v>
      </c>
      <c r="BL176" s="36">
        <v>721</v>
      </c>
    </row>
    <row r="177" spans="1:64" ht="12.75">
      <c r="A177" s="5" t="s">
        <v>139</v>
      </c>
      <c r="B177" s="16" t="s">
        <v>208</v>
      </c>
      <c r="C177" s="16" t="s">
        <v>242</v>
      </c>
      <c r="D177" s="127" t="s">
        <v>365</v>
      </c>
      <c r="E177" s="128"/>
      <c r="F177" s="128"/>
      <c r="G177" s="128"/>
      <c r="H177" s="128"/>
      <c r="I177" s="16" t="s">
        <v>465</v>
      </c>
      <c r="J177" s="26">
        <v>1</v>
      </c>
      <c r="K177" s="26">
        <v>0</v>
      </c>
      <c r="L177" s="26">
        <f t="shared" si="200"/>
        <v>0</v>
      </c>
      <c r="M177" s="26">
        <f t="shared" si="201"/>
        <v>0</v>
      </c>
      <c r="N177" s="46">
        <f t="shared" si="202"/>
        <v>0</v>
      </c>
      <c r="O177" s="7"/>
      <c r="Z177" s="36">
        <f t="shared" si="203"/>
        <v>0</v>
      </c>
      <c r="AB177" s="36">
        <f t="shared" si="204"/>
        <v>0</v>
      </c>
      <c r="AC177" s="36">
        <f t="shared" si="205"/>
        <v>0</v>
      </c>
      <c r="AD177" s="36">
        <f t="shared" si="206"/>
        <v>0</v>
      </c>
      <c r="AE177" s="36">
        <f t="shared" si="207"/>
        <v>0</v>
      </c>
      <c r="AF177" s="36">
        <f t="shared" si="208"/>
        <v>0</v>
      </c>
      <c r="AG177" s="36">
        <f t="shared" si="209"/>
        <v>0</v>
      </c>
      <c r="AH177" s="36">
        <f t="shared" si="210"/>
        <v>0</v>
      </c>
      <c r="AI177" s="35" t="s">
        <v>208</v>
      </c>
      <c r="AJ177" s="26">
        <f t="shared" si="211"/>
        <v>0</v>
      </c>
      <c r="AK177" s="26">
        <f t="shared" si="212"/>
        <v>0</v>
      </c>
      <c r="AL177" s="26">
        <f t="shared" si="213"/>
        <v>0</v>
      </c>
      <c r="AN177" s="36">
        <v>21</v>
      </c>
      <c r="AO177" s="36">
        <f>K177*0</f>
        <v>0</v>
      </c>
      <c r="AP177" s="36">
        <f>K177*(1-0)</f>
        <v>0</v>
      </c>
      <c r="AQ177" s="37" t="s">
        <v>13</v>
      </c>
      <c r="AV177" s="36">
        <f t="shared" si="214"/>
        <v>0</v>
      </c>
      <c r="AW177" s="36">
        <f t="shared" si="215"/>
        <v>0</v>
      </c>
      <c r="AX177" s="36">
        <f t="shared" si="216"/>
        <v>0</v>
      </c>
      <c r="AY177" s="39" t="s">
        <v>492</v>
      </c>
      <c r="AZ177" s="39" t="s">
        <v>515</v>
      </c>
      <c r="BA177" s="35" t="s">
        <v>521</v>
      </c>
      <c r="BC177" s="36">
        <f t="shared" si="217"/>
        <v>0</v>
      </c>
      <c r="BD177" s="36">
        <f t="shared" si="218"/>
        <v>0</v>
      </c>
      <c r="BE177" s="36">
        <v>0</v>
      </c>
      <c r="BF177" s="36">
        <f>177</f>
        <v>177</v>
      </c>
      <c r="BH177" s="26">
        <f t="shared" si="219"/>
        <v>0</v>
      </c>
      <c r="BI177" s="26">
        <f t="shared" si="220"/>
        <v>0</v>
      </c>
      <c r="BJ177" s="26">
        <f t="shared" si="221"/>
        <v>0</v>
      </c>
      <c r="BK177" s="26" t="s">
        <v>526</v>
      </c>
      <c r="BL177" s="36">
        <v>721</v>
      </c>
    </row>
    <row r="178" spans="1:64" ht="12.75">
      <c r="A178" s="5" t="s">
        <v>140</v>
      </c>
      <c r="B178" s="16" t="s">
        <v>208</v>
      </c>
      <c r="C178" s="16" t="s">
        <v>243</v>
      </c>
      <c r="D178" s="127" t="s">
        <v>366</v>
      </c>
      <c r="E178" s="128"/>
      <c r="F178" s="128"/>
      <c r="G178" s="128"/>
      <c r="H178" s="128"/>
      <c r="I178" s="16" t="s">
        <v>463</v>
      </c>
      <c r="J178" s="26">
        <v>0.2</v>
      </c>
      <c r="K178" s="26">
        <v>0</v>
      </c>
      <c r="L178" s="26">
        <f t="shared" si="200"/>
        <v>0</v>
      </c>
      <c r="M178" s="26">
        <f t="shared" si="201"/>
        <v>0</v>
      </c>
      <c r="N178" s="46">
        <f t="shared" si="202"/>
        <v>0</v>
      </c>
      <c r="O178" s="7"/>
      <c r="Z178" s="36">
        <f t="shared" si="203"/>
        <v>0</v>
      </c>
      <c r="AB178" s="36">
        <f t="shared" si="204"/>
        <v>0</v>
      </c>
      <c r="AC178" s="36">
        <f t="shared" si="205"/>
        <v>0</v>
      </c>
      <c r="AD178" s="36">
        <f t="shared" si="206"/>
        <v>0</v>
      </c>
      <c r="AE178" s="36">
        <f t="shared" si="207"/>
        <v>0</v>
      </c>
      <c r="AF178" s="36">
        <f t="shared" si="208"/>
        <v>0</v>
      </c>
      <c r="AG178" s="36">
        <f t="shared" si="209"/>
        <v>0</v>
      </c>
      <c r="AH178" s="36">
        <f t="shared" si="210"/>
        <v>0</v>
      </c>
      <c r="AI178" s="35" t="s">
        <v>208</v>
      </c>
      <c r="AJ178" s="26">
        <f t="shared" si="211"/>
        <v>0</v>
      </c>
      <c r="AK178" s="26">
        <f t="shared" si="212"/>
        <v>0</v>
      </c>
      <c r="AL178" s="26">
        <f t="shared" si="213"/>
        <v>0</v>
      </c>
      <c r="AN178" s="36">
        <v>21</v>
      </c>
      <c r="AO178" s="36">
        <f>K178*0</f>
        <v>0</v>
      </c>
      <c r="AP178" s="36">
        <f>K178*(1-0)</f>
        <v>0</v>
      </c>
      <c r="AQ178" s="37" t="s">
        <v>11</v>
      </c>
      <c r="AV178" s="36">
        <f t="shared" si="214"/>
        <v>0</v>
      </c>
      <c r="AW178" s="36">
        <f t="shared" si="215"/>
        <v>0</v>
      </c>
      <c r="AX178" s="36">
        <f t="shared" si="216"/>
        <v>0</v>
      </c>
      <c r="AY178" s="39" t="s">
        <v>492</v>
      </c>
      <c r="AZ178" s="39" t="s">
        <v>515</v>
      </c>
      <c r="BA178" s="35" t="s">
        <v>521</v>
      </c>
      <c r="BC178" s="36">
        <f t="shared" si="217"/>
        <v>0</v>
      </c>
      <c r="BD178" s="36">
        <f t="shared" si="218"/>
        <v>0</v>
      </c>
      <c r="BE178" s="36">
        <v>0</v>
      </c>
      <c r="BF178" s="36">
        <f>178</f>
        <v>178</v>
      </c>
      <c r="BH178" s="26">
        <f t="shared" si="219"/>
        <v>0</v>
      </c>
      <c r="BI178" s="26">
        <f t="shared" si="220"/>
        <v>0</v>
      </c>
      <c r="BJ178" s="26">
        <f t="shared" si="221"/>
        <v>0</v>
      </c>
      <c r="BK178" s="26" t="s">
        <v>526</v>
      </c>
      <c r="BL178" s="36">
        <v>721</v>
      </c>
    </row>
    <row r="179" spans="1:47" ht="12.75">
      <c r="A179" s="4"/>
      <c r="B179" s="15" t="s">
        <v>208</v>
      </c>
      <c r="C179" s="15" t="s">
        <v>244</v>
      </c>
      <c r="D179" s="129" t="s">
        <v>367</v>
      </c>
      <c r="E179" s="130"/>
      <c r="F179" s="130"/>
      <c r="G179" s="130"/>
      <c r="H179" s="130"/>
      <c r="I179" s="23" t="s">
        <v>6</v>
      </c>
      <c r="J179" s="23" t="s">
        <v>6</v>
      </c>
      <c r="K179" s="23" t="s">
        <v>6</v>
      </c>
      <c r="L179" s="42">
        <f>SUM(L180:L198)</f>
        <v>0</v>
      </c>
      <c r="M179" s="42">
        <f>SUM(M180:M198)</f>
        <v>0</v>
      </c>
      <c r="N179" s="45">
        <f>SUM(N180:N198)</f>
        <v>0</v>
      </c>
      <c r="O179" s="7"/>
      <c r="AI179" s="35" t="s">
        <v>208</v>
      </c>
      <c r="AS179" s="42">
        <f>SUM(AJ180:AJ198)</f>
        <v>0</v>
      </c>
      <c r="AT179" s="42">
        <f>SUM(AK180:AK198)</f>
        <v>0</v>
      </c>
      <c r="AU179" s="42">
        <f>SUM(AL180:AL198)</f>
        <v>0</v>
      </c>
    </row>
    <row r="180" spans="1:64" ht="12.75">
      <c r="A180" s="5" t="s">
        <v>141</v>
      </c>
      <c r="B180" s="16" t="s">
        <v>208</v>
      </c>
      <c r="C180" s="16" t="s">
        <v>245</v>
      </c>
      <c r="D180" s="127" t="s">
        <v>368</v>
      </c>
      <c r="E180" s="128"/>
      <c r="F180" s="128"/>
      <c r="G180" s="128"/>
      <c r="H180" s="128"/>
      <c r="I180" s="16" t="s">
        <v>466</v>
      </c>
      <c r="J180" s="26">
        <v>6</v>
      </c>
      <c r="K180" s="26">
        <v>0</v>
      </c>
      <c r="L180" s="26">
        <f aca="true" t="shared" si="222" ref="L180:L198">J180*AO180</f>
        <v>0</v>
      </c>
      <c r="M180" s="26">
        <f aca="true" t="shared" si="223" ref="M180:M198">J180*AP180</f>
        <v>0</v>
      </c>
      <c r="N180" s="46">
        <f aca="true" t="shared" si="224" ref="N180:N198">J180*K180</f>
        <v>0</v>
      </c>
      <c r="O180" s="7"/>
      <c r="Z180" s="36">
        <f aca="true" t="shared" si="225" ref="Z180:Z198">IF(AQ180="5",BJ180,0)</f>
        <v>0</v>
      </c>
      <c r="AB180" s="36">
        <f aca="true" t="shared" si="226" ref="AB180:AB198">IF(AQ180="1",BH180,0)</f>
        <v>0</v>
      </c>
      <c r="AC180" s="36">
        <f aca="true" t="shared" si="227" ref="AC180:AC198">IF(AQ180="1",BI180,0)</f>
        <v>0</v>
      </c>
      <c r="AD180" s="36">
        <f aca="true" t="shared" si="228" ref="AD180:AD198">IF(AQ180="7",BH180,0)</f>
        <v>0</v>
      </c>
      <c r="AE180" s="36">
        <f aca="true" t="shared" si="229" ref="AE180:AE198">IF(AQ180="7",BI180,0)</f>
        <v>0</v>
      </c>
      <c r="AF180" s="36">
        <f aca="true" t="shared" si="230" ref="AF180:AF198">IF(AQ180="2",BH180,0)</f>
        <v>0</v>
      </c>
      <c r="AG180" s="36">
        <f aca="true" t="shared" si="231" ref="AG180:AG198">IF(AQ180="2",BI180,0)</f>
        <v>0</v>
      </c>
      <c r="AH180" s="36">
        <f aca="true" t="shared" si="232" ref="AH180:AH198">IF(AQ180="0",BJ180,0)</f>
        <v>0</v>
      </c>
      <c r="AI180" s="35" t="s">
        <v>208</v>
      </c>
      <c r="AJ180" s="26">
        <f aca="true" t="shared" si="233" ref="AJ180:AJ198">IF(AN180=0,N180,0)</f>
        <v>0</v>
      </c>
      <c r="AK180" s="26">
        <f aca="true" t="shared" si="234" ref="AK180:AK198">IF(AN180=15,N180,0)</f>
        <v>0</v>
      </c>
      <c r="AL180" s="26">
        <f aca="true" t="shared" si="235" ref="AL180:AL198">IF(AN180=21,N180,0)</f>
        <v>0</v>
      </c>
      <c r="AN180" s="36">
        <v>21</v>
      </c>
      <c r="AO180" s="36">
        <f>K180*0</f>
        <v>0</v>
      </c>
      <c r="AP180" s="36">
        <f>K180*(1-0)</f>
        <v>0</v>
      </c>
      <c r="AQ180" s="37" t="s">
        <v>13</v>
      </c>
      <c r="AV180" s="36">
        <f aca="true" t="shared" si="236" ref="AV180:AV198">AW180+AX180</f>
        <v>0</v>
      </c>
      <c r="AW180" s="36">
        <f aca="true" t="shared" si="237" ref="AW180:AW198">J180*AO180</f>
        <v>0</v>
      </c>
      <c r="AX180" s="36">
        <f aca="true" t="shared" si="238" ref="AX180:AX198">J180*AP180</f>
        <v>0</v>
      </c>
      <c r="AY180" s="39" t="s">
        <v>493</v>
      </c>
      <c r="AZ180" s="39" t="s">
        <v>515</v>
      </c>
      <c r="BA180" s="35" t="s">
        <v>521</v>
      </c>
      <c r="BC180" s="36">
        <f aca="true" t="shared" si="239" ref="BC180:BC198">AW180+AX180</f>
        <v>0</v>
      </c>
      <c r="BD180" s="36">
        <f aca="true" t="shared" si="240" ref="BD180:BD198">K180/(100-BE180)*100</f>
        <v>0</v>
      </c>
      <c r="BE180" s="36">
        <v>0</v>
      </c>
      <c r="BF180" s="36">
        <f>180</f>
        <v>180</v>
      </c>
      <c r="BH180" s="26">
        <f aca="true" t="shared" si="241" ref="BH180:BH198">J180*AO180</f>
        <v>0</v>
      </c>
      <c r="BI180" s="26">
        <f aca="true" t="shared" si="242" ref="BI180:BI198">J180*AP180</f>
        <v>0</v>
      </c>
      <c r="BJ180" s="26">
        <f aca="true" t="shared" si="243" ref="BJ180:BJ198">J180*K180</f>
        <v>0</v>
      </c>
      <c r="BK180" s="26" t="s">
        <v>526</v>
      </c>
      <c r="BL180" s="36">
        <v>722</v>
      </c>
    </row>
    <row r="181" spans="1:64" ht="12.75">
      <c r="A181" s="5" t="s">
        <v>142</v>
      </c>
      <c r="B181" s="16" t="s">
        <v>208</v>
      </c>
      <c r="C181" s="16" t="s">
        <v>246</v>
      </c>
      <c r="D181" s="127" t="s">
        <v>369</v>
      </c>
      <c r="E181" s="128"/>
      <c r="F181" s="128"/>
      <c r="G181" s="128"/>
      <c r="H181" s="128"/>
      <c r="I181" s="16" t="s">
        <v>462</v>
      </c>
      <c r="J181" s="26">
        <v>6</v>
      </c>
      <c r="K181" s="26">
        <v>0</v>
      </c>
      <c r="L181" s="26">
        <f t="shared" si="222"/>
        <v>0</v>
      </c>
      <c r="M181" s="26">
        <f t="shared" si="223"/>
        <v>0</v>
      </c>
      <c r="N181" s="46">
        <f t="shared" si="224"/>
        <v>0</v>
      </c>
      <c r="O181" s="7"/>
      <c r="Z181" s="36">
        <f t="shared" si="225"/>
        <v>0</v>
      </c>
      <c r="AB181" s="36">
        <f t="shared" si="226"/>
        <v>0</v>
      </c>
      <c r="AC181" s="36">
        <f t="shared" si="227"/>
        <v>0</v>
      </c>
      <c r="AD181" s="36">
        <f t="shared" si="228"/>
        <v>0</v>
      </c>
      <c r="AE181" s="36">
        <f t="shared" si="229"/>
        <v>0</v>
      </c>
      <c r="AF181" s="36">
        <f t="shared" si="230"/>
        <v>0</v>
      </c>
      <c r="AG181" s="36">
        <f t="shared" si="231"/>
        <v>0</v>
      </c>
      <c r="AH181" s="36">
        <f t="shared" si="232"/>
        <v>0</v>
      </c>
      <c r="AI181" s="35" t="s">
        <v>208</v>
      </c>
      <c r="AJ181" s="26">
        <f t="shared" si="233"/>
        <v>0</v>
      </c>
      <c r="AK181" s="26">
        <f t="shared" si="234"/>
        <v>0</v>
      </c>
      <c r="AL181" s="26">
        <f t="shared" si="235"/>
        <v>0</v>
      </c>
      <c r="AN181" s="36">
        <v>21</v>
      </c>
      <c r="AO181" s="36">
        <f>K181*0.51533510034078</f>
        <v>0</v>
      </c>
      <c r="AP181" s="36">
        <f>K181*(1-0.51533510034078)</f>
        <v>0</v>
      </c>
      <c r="AQ181" s="37" t="s">
        <v>13</v>
      </c>
      <c r="AV181" s="36">
        <f t="shared" si="236"/>
        <v>0</v>
      </c>
      <c r="AW181" s="36">
        <f t="shared" si="237"/>
        <v>0</v>
      </c>
      <c r="AX181" s="36">
        <f t="shared" si="238"/>
        <v>0</v>
      </c>
      <c r="AY181" s="39" t="s">
        <v>493</v>
      </c>
      <c r="AZ181" s="39" t="s">
        <v>515</v>
      </c>
      <c r="BA181" s="35" t="s">
        <v>521</v>
      </c>
      <c r="BC181" s="36">
        <f t="shared" si="239"/>
        <v>0</v>
      </c>
      <c r="BD181" s="36">
        <f t="shared" si="240"/>
        <v>0</v>
      </c>
      <c r="BE181" s="36">
        <v>0</v>
      </c>
      <c r="BF181" s="36">
        <f>181</f>
        <v>181</v>
      </c>
      <c r="BH181" s="26">
        <f t="shared" si="241"/>
        <v>0</v>
      </c>
      <c r="BI181" s="26">
        <f t="shared" si="242"/>
        <v>0</v>
      </c>
      <c r="BJ181" s="26">
        <f t="shared" si="243"/>
        <v>0</v>
      </c>
      <c r="BK181" s="26" t="s">
        <v>526</v>
      </c>
      <c r="BL181" s="36">
        <v>722</v>
      </c>
    </row>
    <row r="182" spans="1:64" ht="12.75">
      <c r="A182" s="5" t="s">
        <v>143</v>
      </c>
      <c r="B182" s="16" t="s">
        <v>208</v>
      </c>
      <c r="C182" s="16" t="s">
        <v>257</v>
      </c>
      <c r="D182" s="127" t="s">
        <v>380</v>
      </c>
      <c r="E182" s="128"/>
      <c r="F182" s="128"/>
      <c r="G182" s="128"/>
      <c r="H182" s="128"/>
      <c r="I182" s="16" t="s">
        <v>466</v>
      </c>
      <c r="J182" s="26">
        <v>3</v>
      </c>
      <c r="K182" s="26">
        <v>0</v>
      </c>
      <c r="L182" s="26">
        <f t="shared" si="222"/>
        <v>0</v>
      </c>
      <c r="M182" s="26">
        <f t="shared" si="223"/>
        <v>0</v>
      </c>
      <c r="N182" s="46">
        <f t="shared" si="224"/>
        <v>0</v>
      </c>
      <c r="O182" s="7"/>
      <c r="Z182" s="36">
        <f t="shared" si="225"/>
        <v>0</v>
      </c>
      <c r="AB182" s="36">
        <f t="shared" si="226"/>
        <v>0</v>
      </c>
      <c r="AC182" s="36">
        <f t="shared" si="227"/>
        <v>0</v>
      </c>
      <c r="AD182" s="36">
        <f t="shared" si="228"/>
        <v>0</v>
      </c>
      <c r="AE182" s="36">
        <f t="shared" si="229"/>
        <v>0</v>
      </c>
      <c r="AF182" s="36">
        <f t="shared" si="230"/>
        <v>0</v>
      </c>
      <c r="AG182" s="36">
        <f t="shared" si="231"/>
        <v>0</v>
      </c>
      <c r="AH182" s="36">
        <f t="shared" si="232"/>
        <v>0</v>
      </c>
      <c r="AI182" s="35" t="s">
        <v>208</v>
      </c>
      <c r="AJ182" s="26">
        <f t="shared" si="233"/>
        <v>0</v>
      </c>
      <c r="AK182" s="26">
        <f t="shared" si="234"/>
        <v>0</v>
      </c>
      <c r="AL182" s="26">
        <f t="shared" si="235"/>
        <v>0</v>
      </c>
      <c r="AN182" s="36">
        <v>21</v>
      </c>
      <c r="AO182" s="36">
        <f>K182*0</f>
        <v>0</v>
      </c>
      <c r="AP182" s="36">
        <f>K182*(1-0)</f>
        <v>0</v>
      </c>
      <c r="AQ182" s="37" t="s">
        <v>13</v>
      </c>
      <c r="AV182" s="36">
        <f t="shared" si="236"/>
        <v>0</v>
      </c>
      <c r="AW182" s="36">
        <f t="shared" si="237"/>
        <v>0</v>
      </c>
      <c r="AX182" s="36">
        <f t="shared" si="238"/>
        <v>0</v>
      </c>
      <c r="AY182" s="39" t="s">
        <v>493</v>
      </c>
      <c r="AZ182" s="39" t="s">
        <v>515</v>
      </c>
      <c r="BA182" s="35" t="s">
        <v>521</v>
      </c>
      <c r="BC182" s="36">
        <f t="shared" si="239"/>
        <v>0</v>
      </c>
      <c r="BD182" s="36">
        <f t="shared" si="240"/>
        <v>0</v>
      </c>
      <c r="BE182" s="36">
        <v>0</v>
      </c>
      <c r="BF182" s="36">
        <f>182</f>
        <v>182</v>
      </c>
      <c r="BH182" s="26">
        <f t="shared" si="241"/>
        <v>0</v>
      </c>
      <c r="BI182" s="26">
        <f t="shared" si="242"/>
        <v>0</v>
      </c>
      <c r="BJ182" s="26">
        <f t="shared" si="243"/>
        <v>0</v>
      </c>
      <c r="BK182" s="26" t="s">
        <v>526</v>
      </c>
      <c r="BL182" s="36">
        <v>722</v>
      </c>
    </row>
    <row r="183" spans="1:64" ht="12.75">
      <c r="A183" s="5" t="s">
        <v>144</v>
      </c>
      <c r="B183" s="16" t="s">
        <v>208</v>
      </c>
      <c r="C183" s="16" t="s">
        <v>258</v>
      </c>
      <c r="D183" s="127" t="s">
        <v>381</v>
      </c>
      <c r="E183" s="128"/>
      <c r="F183" s="128"/>
      <c r="G183" s="128"/>
      <c r="H183" s="128"/>
      <c r="I183" s="16" t="s">
        <v>466</v>
      </c>
      <c r="J183" s="26">
        <v>3</v>
      </c>
      <c r="K183" s="26">
        <v>0</v>
      </c>
      <c r="L183" s="26">
        <f t="shared" si="222"/>
        <v>0</v>
      </c>
      <c r="M183" s="26">
        <f t="shared" si="223"/>
        <v>0</v>
      </c>
      <c r="N183" s="46">
        <f t="shared" si="224"/>
        <v>0</v>
      </c>
      <c r="O183" s="7"/>
      <c r="Z183" s="36">
        <f t="shared" si="225"/>
        <v>0</v>
      </c>
      <c r="AB183" s="36">
        <f t="shared" si="226"/>
        <v>0</v>
      </c>
      <c r="AC183" s="36">
        <f t="shared" si="227"/>
        <v>0</v>
      </c>
      <c r="AD183" s="36">
        <f t="shared" si="228"/>
        <v>0</v>
      </c>
      <c r="AE183" s="36">
        <f t="shared" si="229"/>
        <v>0</v>
      </c>
      <c r="AF183" s="36">
        <f t="shared" si="230"/>
        <v>0</v>
      </c>
      <c r="AG183" s="36">
        <f t="shared" si="231"/>
        <v>0</v>
      </c>
      <c r="AH183" s="36">
        <f t="shared" si="232"/>
        <v>0</v>
      </c>
      <c r="AI183" s="35" t="s">
        <v>208</v>
      </c>
      <c r="AJ183" s="26">
        <f t="shared" si="233"/>
        <v>0</v>
      </c>
      <c r="AK183" s="26">
        <f t="shared" si="234"/>
        <v>0</v>
      </c>
      <c r="AL183" s="26">
        <f t="shared" si="235"/>
        <v>0</v>
      </c>
      <c r="AN183" s="36">
        <v>21</v>
      </c>
      <c r="AO183" s="36">
        <f>K183*0.146013986013986</f>
        <v>0</v>
      </c>
      <c r="AP183" s="36">
        <f>K183*(1-0.146013986013986)</f>
        <v>0</v>
      </c>
      <c r="AQ183" s="37" t="s">
        <v>13</v>
      </c>
      <c r="AV183" s="36">
        <f t="shared" si="236"/>
        <v>0</v>
      </c>
      <c r="AW183" s="36">
        <f t="shared" si="237"/>
        <v>0</v>
      </c>
      <c r="AX183" s="36">
        <f t="shared" si="238"/>
        <v>0</v>
      </c>
      <c r="AY183" s="39" t="s">
        <v>493</v>
      </c>
      <c r="AZ183" s="39" t="s">
        <v>515</v>
      </c>
      <c r="BA183" s="35" t="s">
        <v>521</v>
      </c>
      <c r="BC183" s="36">
        <f t="shared" si="239"/>
        <v>0</v>
      </c>
      <c r="BD183" s="36">
        <f t="shared" si="240"/>
        <v>0</v>
      </c>
      <c r="BE183" s="36">
        <v>0</v>
      </c>
      <c r="BF183" s="36">
        <f>183</f>
        <v>183</v>
      </c>
      <c r="BH183" s="26">
        <f t="shared" si="241"/>
        <v>0</v>
      </c>
      <c r="BI183" s="26">
        <f t="shared" si="242"/>
        <v>0</v>
      </c>
      <c r="BJ183" s="26">
        <f t="shared" si="243"/>
        <v>0</v>
      </c>
      <c r="BK183" s="26" t="s">
        <v>526</v>
      </c>
      <c r="BL183" s="36">
        <v>722</v>
      </c>
    </row>
    <row r="184" spans="1:64" ht="12.75">
      <c r="A184" s="5" t="s">
        <v>145</v>
      </c>
      <c r="B184" s="16" t="s">
        <v>208</v>
      </c>
      <c r="C184" s="16" t="s">
        <v>259</v>
      </c>
      <c r="D184" s="127" t="s">
        <v>382</v>
      </c>
      <c r="E184" s="128"/>
      <c r="F184" s="128"/>
      <c r="G184" s="128"/>
      <c r="H184" s="128"/>
      <c r="I184" s="16" t="s">
        <v>462</v>
      </c>
      <c r="J184" s="26">
        <v>3</v>
      </c>
      <c r="K184" s="26">
        <v>0</v>
      </c>
      <c r="L184" s="26">
        <f t="shared" si="222"/>
        <v>0</v>
      </c>
      <c r="M184" s="26">
        <f t="shared" si="223"/>
        <v>0</v>
      </c>
      <c r="N184" s="46">
        <f t="shared" si="224"/>
        <v>0</v>
      </c>
      <c r="O184" s="7"/>
      <c r="Z184" s="36">
        <f t="shared" si="225"/>
        <v>0</v>
      </c>
      <c r="AB184" s="36">
        <f t="shared" si="226"/>
        <v>0</v>
      </c>
      <c r="AC184" s="36">
        <f t="shared" si="227"/>
        <v>0</v>
      </c>
      <c r="AD184" s="36">
        <f t="shared" si="228"/>
        <v>0</v>
      </c>
      <c r="AE184" s="36">
        <f t="shared" si="229"/>
        <v>0</v>
      </c>
      <c r="AF184" s="36">
        <f t="shared" si="230"/>
        <v>0</v>
      </c>
      <c r="AG184" s="36">
        <f t="shared" si="231"/>
        <v>0</v>
      </c>
      <c r="AH184" s="36">
        <f t="shared" si="232"/>
        <v>0</v>
      </c>
      <c r="AI184" s="35" t="s">
        <v>208</v>
      </c>
      <c r="AJ184" s="26">
        <f t="shared" si="233"/>
        <v>0</v>
      </c>
      <c r="AK184" s="26">
        <f t="shared" si="234"/>
        <v>0</v>
      </c>
      <c r="AL184" s="26">
        <f t="shared" si="235"/>
        <v>0</v>
      </c>
      <c r="AN184" s="36">
        <v>21</v>
      </c>
      <c r="AO184" s="36">
        <f>K184*0.149209157127992</f>
        <v>0</v>
      </c>
      <c r="AP184" s="36">
        <f>K184*(1-0.149209157127992)</f>
        <v>0</v>
      </c>
      <c r="AQ184" s="37" t="s">
        <v>13</v>
      </c>
      <c r="AV184" s="36">
        <f t="shared" si="236"/>
        <v>0</v>
      </c>
      <c r="AW184" s="36">
        <f t="shared" si="237"/>
        <v>0</v>
      </c>
      <c r="AX184" s="36">
        <f t="shared" si="238"/>
        <v>0</v>
      </c>
      <c r="AY184" s="39" t="s">
        <v>493</v>
      </c>
      <c r="AZ184" s="39" t="s">
        <v>515</v>
      </c>
      <c r="BA184" s="35" t="s">
        <v>521</v>
      </c>
      <c r="BC184" s="36">
        <f t="shared" si="239"/>
        <v>0</v>
      </c>
      <c r="BD184" s="36">
        <f t="shared" si="240"/>
        <v>0</v>
      </c>
      <c r="BE184" s="36">
        <v>0</v>
      </c>
      <c r="BF184" s="36">
        <f>184</f>
        <v>184</v>
      </c>
      <c r="BH184" s="26">
        <f t="shared" si="241"/>
        <v>0</v>
      </c>
      <c r="BI184" s="26">
        <f t="shared" si="242"/>
        <v>0</v>
      </c>
      <c r="BJ184" s="26">
        <f t="shared" si="243"/>
        <v>0</v>
      </c>
      <c r="BK184" s="26" t="s">
        <v>526</v>
      </c>
      <c r="BL184" s="36">
        <v>722</v>
      </c>
    </row>
    <row r="185" spans="1:64" ht="12.75">
      <c r="A185" s="5" t="s">
        <v>146</v>
      </c>
      <c r="B185" s="16" t="s">
        <v>208</v>
      </c>
      <c r="C185" s="16" t="s">
        <v>262</v>
      </c>
      <c r="D185" s="127" t="s">
        <v>385</v>
      </c>
      <c r="E185" s="128"/>
      <c r="F185" s="128"/>
      <c r="G185" s="128"/>
      <c r="H185" s="128"/>
      <c r="I185" s="16" t="s">
        <v>462</v>
      </c>
      <c r="J185" s="26">
        <v>2</v>
      </c>
      <c r="K185" s="26">
        <v>0</v>
      </c>
      <c r="L185" s="26">
        <f t="shared" si="222"/>
        <v>0</v>
      </c>
      <c r="M185" s="26">
        <f t="shared" si="223"/>
        <v>0</v>
      </c>
      <c r="N185" s="46">
        <f t="shared" si="224"/>
        <v>0</v>
      </c>
      <c r="O185" s="7"/>
      <c r="Z185" s="36">
        <f t="shared" si="225"/>
        <v>0</v>
      </c>
      <c r="AB185" s="36">
        <f t="shared" si="226"/>
        <v>0</v>
      </c>
      <c r="AC185" s="36">
        <f t="shared" si="227"/>
        <v>0</v>
      </c>
      <c r="AD185" s="36">
        <f t="shared" si="228"/>
        <v>0</v>
      </c>
      <c r="AE185" s="36">
        <f t="shared" si="229"/>
        <v>0</v>
      </c>
      <c r="AF185" s="36">
        <f t="shared" si="230"/>
        <v>0</v>
      </c>
      <c r="AG185" s="36">
        <f t="shared" si="231"/>
        <v>0</v>
      </c>
      <c r="AH185" s="36">
        <f t="shared" si="232"/>
        <v>0</v>
      </c>
      <c r="AI185" s="35" t="s">
        <v>208</v>
      </c>
      <c r="AJ185" s="26">
        <f t="shared" si="233"/>
        <v>0</v>
      </c>
      <c r="AK185" s="26">
        <f t="shared" si="234"/>
        <v>0</v>
      </c>
      <c r="AL185" s="26">
        <f t="shared" si="235"/>
        <v>0</v>
      </c>
      <c r="AN185" s="36">
        <v>21</v>
      </c>
      <c r="AO185" s="36">
        <f>K185*0.286550056713032</f>
        <v>0</v>
      </c>
      <c r="AP185" s="36">
        <f>K185*(1-0.286550056713032)</f>
        <v>0</v>
      </c>
      <c r="AQ185" s="37" t="s">
        <v>13</v>
      </c>
      <c r="AV185" s="36">
        <f t="shared" si="236"/>
        <v>0</v>
      </c>
      <c r="AW185" s="36">
        <f t="shared" si="237"/>
        <v>0</v>
      </c>
      <c r="AX185" s="36">
        <f t="shared" si="238"/>
        <v>0</v>
      </c>
      <c r="AY185" s="39" t="s">
        <v>493</v>
      </c>
      <c r="AZ185" s="39" t="s">
        <v>515</v>
      </c>
      <c r="BA185" s="35" t="s">
        <v>521</v>
      </c>
      <c r="BC185" s="36">
        <f t="shared" si="239"/>
        <v>0</v>
      </c>
      <c r="BD185" s="36">
        <f t="shared" si="240"/>
        <v>0</v>
      </c>
      <c r="BE185" s="36">
        <v>0</v>
      </c>
      <c r="BF185" s="36">
        <f>185</f>
        <v>185</v>
      </c>
      <c r="BH185" s="26">
        <f t="shared" si="241"/>
        <v>0</v>
      </c>
      <c r="BI185" s="26">
        <f t="shared" si="242"/>
        <v>0</v>
      </c>
      <c r="BJ185" s="26">
        <f t="shared" si="243"/>
        <v>0</v>
      </c>
      <c r="BK185" s="26" t="s">
        <v>526</v>
      </c>
      <c r="BL185" s="36">
        <v>722</v>
      </c>
    </row>
    <row r="186" spans="1:64" ht="12.75">
      <c r="A186" s="5" t="s">
        <v>147</v>
      </c>
      <c r="B186" s="16" t="s">
        <v>208</v>
      </c>
      <c r="C186" s="16" t="s">
        <v>263</v>
      </c>
      <c r="D186" s="127" t="s">
        <v>386</v>
      </c>
      <c r="E186" s="128"/>
      <c r="F186" s="128"/>
      <c r="G186" s="128"/>
      <c r="H186" s="128"/>
      <c r="I186" s="16" t="s">
        <v>466</v>
      </c>
      <c r="J186" s="26">
        <v>2</v>
      </c>
      <c r="K186" s="26">
        <v>0</v>
      </c>
      <c r="L186" s="26">
        <f t="shared" si="222"/>
        <v>0</v>
      </c>
      <c r="M186" s="26">
        <f t="shared" si="223"/>
        <v>0</v>
      </c>
      <c r="N186" s="46">
        <f t="shared" si="224"/>
        <v>0</v>
      </c>
      <c r="O186" s="7"/>
      <c r="Z186" s="36">
        <f t="shared" si="225"/>
        <v>0</v>
      </c>
      <c r="AB186" s="36">
        <f t="shared" si="226"/>
        <v>0</v>
      </c>
      <c r="AC186" s="36">
        <f t="shared" si="227"/>
        <v>0</v>
      </c>
      <c r="AD186" s="36">
        <f t="shared" si="228"/>
        <v>0</v>
      </c>
      <c r="AE186" s="36">
        <f t="shared" si="229"/>
        <v>0</v>
      </c>
      <c r="AF186" s="36">
        <f t="shared" si="230"/>
        <v>0</v>
      </c>
      <c r="AG186" s="36">
        <f t="shared" si="231"/>
        <v>0</v>
      </c>
      <c r="AH186" s="36">
        <f t="shared" si="232"/>
        <v>0</v>
      </c>
      <c r="AI186" s="35" t="s">
        <v>208</v>
      </c>
      <c r="AJ186" s="26">
        <f t="shared" si="233"/>
        <v>0</v>
      </c>
      <c r="AK186" s="26">
        <f t="shared" si="234"/>
        <v>0</v>
      </c>
      <c r="AL186" s="26">
        <f t="shared" si="235"/>
        <v>0</v>
      </c>
      <c r="AN186" s="36">
        <v>21</v>
      </c>
      <c r="AO186" s="36">
        <f>K186*0.861210916152138</f>
        <v>0</v>
      </c>
      <c r="AP186" s="36">
        <f>K186*(1-0.861210916152138)</f>
        <v>0</v>
      </c>
      <c r="AQ186" s="37" t="s">
        <v>13</v>
      </c>
      <c r="AV186" s="36">
        <f t="shared" si="236"/>
        <v>0</v>
      </c>
      <c r="AW186" s="36">
        <f t="shared" si="237"/>
        <v>0</v>
      </c>
      <c r="AX186" s="36">
        <f t="shared" si="238"/>
        <v>0</v>
      </c>
      <c r="AY186" s="39" t="s">
        <v>493</v>
      </c>
      <c r="AZ186" s="39" t="s">
        <v>515</v>
      </c>
      <c r="BA186" s="35" t="s">
        <v>521</v>
      </c>
      <c r="BC186" s="36">
        <f t="shared" si="239"/>
        <v>0</v>
      </c>
      <c r="BD186" s="36">
        <f t="shared" si="240"/>
        <v>0</v>
      </c>
      <c r="BE186" s="36">
        <v>0</v>
      </c>
      <c r="BF186" s="36">
        <f>186</f>
        <v>186</v>
      </c>
      <c r="BH186" s="26">
        <f t="shared" si="241"/>
        <v>0</v>
      </c>
      <c r="BI186" s="26">
        <f t="shared" si="242"/>
        <v>0</v>
      </c>
      <c r="BJ186" s="26">
        <f t="shared" si="243"/>
        <v>0</v>
      </c>
      <c r="BK186" s="26" t="s">
        <v>526</v>
      </c>
      <c r="BL186" s="36">
        <v>722</v>
      </c>
    </row>
    <row r="187" spans="1:64" ht="12.75">
      <c r="A187" s="5" t="s">
        <v>148</v>
      </c>
      <c r="B187" s="16" t="s">
        <v>208</v>
      </c>
      <c r="C187" s="16" t="s">
        <v>264</v>
      </c>
      <c r="D187" s="127" t="s">
        <v>387</v>
      </c>
      <c r="E187" s="128"/>
      <c r="F187" s="128"/>
      <c r="G187" s="128"/>
      <c r="H187" s="128"/>
      <c r="I187" s="16" t="s">
        <v>462</v>
      </c>
      <c r="J187" s="26">
        <v>4</v>
      </c>
      <c r="K187" s="26">
        <v>0</v>
      </c>
      <c r="L187" s="26">
        <f t="shared" si="222"/>
        <v>0</v>
      </c>
      <c r="M187" s="26">
        <f t="shared" si="223"/>
        <v>0</v>
      </c>
      <c r="N187" s="46">
        <f t="shared" si="224"/>
        <v>0</v>
      </c>
      <c r="O187" s="7"/>
      <c r="Z187" s="36">
        <f t="shared" si="225"/>
        <v>0</v>
      </c>
      <c r="AB187" s="36">
        <f t="shared" si="226"/>
        <v>0</v>
      </c>
      <c r="AC187" s="36">
        <f t="shared" si="227"/>
        <v>0</v>
      </c>
      <c r="AD187" s="36">
        <f t="shared" si="228"/>
        <v>0</v>
      </c>
      <c r="AE187" s="36">
        <f t="shared" si="229"/>
        <v>0</v>
      </c>
      <c r="AF187" s="36">
        <f t="shared" si="230"/>
        <v>0</v>
      </c>
      <c r="AG187" s="36">
        <f t="shared" si="231"/>
        <v>0</v>
      </c>
      <c r="AH187" s="36">
        <f t="shared" si="232"/>
        <v>0</v>
      </c>
      <c r="AI187" s="35" t="s">
        <v>208</v>
      </c>
      <c r="AJ187" s="26">
        <f t="shared" si="233"/>
        <v>0</v>
      </c>
      <c r="AK187" s="26">
        <f t="shared" si="234"/>
        <v>0</v>
      </c>
      <c r="AL187" s="26">
        <f t="shared" si="235"/>
        <v>0</v>
      </c>
      <c r="AN187" s="36">
        <v>21</v>
      </c>
      <c r="AO187" s="36">
        <f>K187*0.286550056713032</f>
        <v>0</v>
      </c>
      <c r="AP187" s="36">
        <f>K187*(1-0.286550056713032)</f>
        <v>0</v>
      </c>
      <c r="AQ187" s="37" t="s">
        <v>13</v>
      </c>
      <c r="AV187" s="36">
        <f t="shared" si="236"/>
        <v>0</v>
      </c>
      <c r="AW187" s="36">
        <f t="shared" si="237"/>
        <v>0</v>
      </c>
      <c r="AX187" s="36">
        <f t="shared" si="238"/>
        <v>0</v>
      </c>
      <c r="AY187" s="39" t="s">
        <v>493</v>
      </c>
      <c r="AZ187" s="39" t="s">
        <v>515</v>
      </c>
      <c r="BA187" s="35" t="s">
        <v>521</v>
      </c>
      <c r="BC187" s="36">
        <f t="shared" si="239"/>
        <v>0</v>
      </c>
      <c r="BD187" s="36">
        <f t="shared" si="240"/>
        <v>0</v>
      </c>
      <c r="BE187" s="36">
        <v>0</v>
      </c>
      <c r="BF187" s="36">
        <f>187</f>
        <v>187</v>
      </c>
      <c r="BH187" s="26">
        <f t="shared" si="241"/>
        <v>0</v>
      </c>
      <c r="BI187" s="26">
        <f t="shared" si="242"/>
        <v>0</v>
      </c>
      <c r="BJ187" s="26">
        <f t="shared" si="243"/>
        <v>0</v>
      </c>
      <c r="BK187" s="26" t="s">
        <v>526</v>
      </c>
      <c r="BL187" s="36">
        <v>722</v>
      </c>
    </row>
    <row r="188" spans="1:64" ht="12.75">
      <c r="A188" s="5" t="s">
        <v>149</v>
      </c>
      <c r="B188" s="16" t="s">
        <v>208</v>
      </c>
      <c r="C188" s="16" t="s">
        <v>265</v>
      </c>
      <c r="D188" s="127" t="s">
        <v>388</v>
      </c>
      <c r="E188" s="128"/>
      <c r="F188" s="128"/>
      <c r="G188" s="128"/>
      <c r="H188" s="128"/>
      <c r="I188" s="16" t="s">
        <v>466</v>
      </c>
      <c r="J188" s="26">
        <v>2</v>
      </c>
      <c r="K188" s="26">
        <v>0</v>
      </c>
      <c r="L188" s="26">
        <f t="shared" si="222"/>
        <v>0</v>
      </c>
      <c r="M188" s="26">
        <f t="shared" si="223"/>
        <v>0</v>
      </c>
      <c r="N188" s="46">
        <f t="shared" si="224"/>
        <v>0</v>
      </c>
      <c r="O188" s="7"/>
      <c r="Z188" s="36">
        <f t="shared" si="225"/>
        <v>0</v>
      </c>
      <c r="AB188" s="36">
        <f t="shared" si="226"/>
        <v>0</v>
      </c>
      <c r="AC188" s="36">
        <f t="shared" si="227"/>
        <v>0</v>
      </c>
      <c r="AD188" s="36">
        <f t="shared" si="228"/>
        <v>0</v>
      </c>
      <c r="AE188" s="36">
        <f t="shared" si="229"/>
        <v>0</v>
      </c>
      <c r="AF188" s="36">
        <f t="shared" si="230"/>
        <v>0</v>
      </c>
      <c r="AG188" s="36">
        <f t="shared" si="231"/>
        <v>0</v>
      </c>
      <c r="AH188" s="36">
        <f t="shared" si="232"/>
        <v>0</v>
      </c>
      <c r="AI188" s="35" t="s">
        <v>208</v>
      </c>
      <c r="AJ188" s="26">
        <f t="shared" si="233"/>
        <v>0</v>
      </c>
      <c r="AK188" s="26">
        <f t="shared" si="234"/>
        <v>0</v>
      </c>
      <c r="AL188" s="26">
        <f t="shared" si="235"/>
        <v>0</v>
      </c>
      <c r="AN188" s="36">
        <v>21</v>
      </c>
      <c r="AO188" s="36">
        <f>K188*0.939380704008614</f>
        <v>0</v>
      </c>
      <c r="AP188" s="36">
        <f>K188*(1-0.939380704008614)</f>
        <v>0</v>
      </c>
      <c r="AQ188" s="37" t="s">
        <v>13</v>
      </c>
      <c r="AV188" s="36">
        <f t="shared" si="236"/>
        <v>0</v>
      </c>
      <c r="AW188" s="36">
        <f t="shared" si="237"/>
        <v>0</v>
      </c>
      <c r="AX188" s="36">
        <f t="shared" si="238"/>
        <v>0</v>
      </c>
      <c r="AY188" s="39" t="s">
        <v>493</v>
      </c>
      <c r="AZ188" s="39" t="s">
        <v>515</v>
      </c>
      <c r="BA188" s="35" t="s">
        <v>521</v>
      </c>
      <c r="BC188" s="36">
        <f t="shared" si="239"/>
        <v>0</v>
      </c>
      <c r="BD188" s="36">
        <f t="shared" si="240"/>
        <v>0</v>
      </c>
      <c r="BE188" s="36">
        <v>0</v>
      </c>
      <c r="BF188" s="36">
        <f>188</f>
        <v>188</v>
      </c>
      <c r="BH188" s="26">
        <f t="shared" si="241"/>
        <v>0</v>
      </c>
      <c r="BI188" s="26">
        <f t="shared" si="242"/>
        <v>0</v>
      </c>
      <c r="BJ188" s="26">
        <f t="shared" si="243"/>
        <v>0</v>
      </c>
      <c r="BK188" s="26" t="s">
        <v>526</v>
      </c>
      <c r="BL188" s="36">
        <v>722</v>
      </c>
    </row>
    <row r="189" spans="1:64" ht="12.75">
      <c r="A189" s="5" t="s">
        <v>150</v>
      </c>
      <c r="B189" s="16" t="s">
        <v>208</v>
      </c>
      <c r="C189" s="16" t="s">
        <v>266</v>
      </c>
      <c r="D189" s="127" t="s">
        <v>389</v>
      </c>
      <c r="E189" s="128"/>
      <c r="F189" s="128"/>
      <c r="G189" s="128"/>
      <c r="H189" s="128"/>
      <c r="I189" s="16" t="s">
        <v>466</v>
      </c>
      <c r="J189" s="26">
        <v>2</v>
      </c>
      <c r="K189" s="26">
        <v>0</v>
      </c>
      <c r="L189" s="26">
        <f t="shared" si="222"/>
        <v>0</v>
      </c>
      <c r="M189" s="26">
        <f t="shared" si="223"/>
        <v>0</v>
      </c>
      <c r="N189" s="46">
        <f t="shared" si="224"/>
        <v>0</v>
      </c>
      <c r="O189" s="7"/>
      <c r="Z189" s="36">
        <f t="shared" si="225"/>
        <v>0</v>
      </c>
      <c r="AB189" s="36">
        <f t="shared" si="226"/>
        <v>0</v>
      </c>
      <c r="AC189" s="36">
        <f t="shared" si="227"/>
        <v>0</v>
      </c>
      <c r="AD189" s="36">
        <f t="shared" si="228"/>
        <v>0</v>
      </c>
      <c r="AE189" s="36">
        <f t="shared" si="229"/>
        <v>0</v>
      </c>
      <c r="AF189" s="36">
        <f t="shared" si="230"/>
        <v>0</v>
      </c>
      <c r="AG189" s="36">
        <f t="shared" si="231"/>
        <v>0</v>
      </c>
      <c r="AH189" s="36">
        <f t="shared" si="232"/>
        <v>0</v>
      </c>
      <c r="AI189" s="35" t="s">
        <v>208</v>
      </c>
      <c r="AJ189" s="26">
        <f t="shared" si="233"/>
        <v>0</v>
      </c>
      <c r="AK189" s="26">
        <f t="shared" si="234"/>
        <v>0</v>
      </c>
      <c r="AL189" s="26">
        <f t="shared" si="235"/>
        <v>0</v>
      </c>
      <c r="AN189" s="36">
        <v>21</v>
      </c>
      <c r="AO189" s="36">
        <f>K189*0.954092484259676</f>
        <v>0</v>
      </c>
      <c r="AP189" s="36">
        <f>K189*(1-0.954092484259676)</f>
        <v>0</v>
      </c>
      <c r="AQ189" s="37" t="s">
        <v>13</v>
      </c>
      <c r="AV189" s="36">
        <f t="shared" si="236"/>
        <v>0</v>
      </c>
      <c r="AW189" s="36">
        <f t="shared" si="237"/>
        <v>0</v>
      </c>
      <c r="AX189" s="36">
        <f t="shared" si="238"/>
        <v>0</v>
      </c>
      <c r="AY189" s="39" t="s">
        <v>493</v>
      </c>
      <c r="AZ189" s="39" t="s">
        <v>515</v>
      </c>
      <c r="BA189" s="35" t="s">
        <v>521</v>
      </c>
      <c r="BC189" s="36">
        <f t="shared" si="239"/>
        <v>0</v>
      </c>
      <c r="BD189" s="36">
        <f t="shared" si="240"/>
        <v>0</v>
      </c>
      <c r="BE189" s="36">
        <v>0</v>
      </c>
      <c r="BF189" s="36">
        <f>189</f>
        <v>189</v>
      </c>
      <c r="BH189" s="26">
        <f t="shared" si="241"/>
        <v>0</v>
      </c>
      <c r="BI189" s="26">
        <f t="shared" si="242"/>
        <v>0</v>
      </c>
      <c r="BJ189" s="26">
        <f t="shared" si="243"/>
        <v>0</v>
      </c>
      <c r="BK189" s="26" t="s">
        <v>526</v>
      </c>
      <c r="BL189" s="36">
        <v>722</v>
      </c>
    </row>
    <row r="190" spans="1:64" ht="12.75">
      <c r="A190" s="5" t="s">
        <v>151</v>
      </c>
      <c r="B190" s="16" t="s">
        <v>208</v>
      </c>
      <c r="C190" s="16" t="s">
        <v>267</v>
      </c>
      <c r="D190" s="127" t="s">
        <v>390</v>
      </c>
      <c r="E190" s="128"/>
      <c r="F190" s="128"/>
      <c r="G190" s="128"/>
      <c r="H190" s="128"/>
      <c r="I190" s="16" t="s">
        <v>466</v>
      </c>
      <c r="J190" s="26">
        <v>3</v>
      </c>
      <c r="K190" s="26">
        <v>0</v>
      </c>
      <c r="L190" s="26">
        <f t="shared" si="222"/>
        <v>0</v>
      </c>
      <c r="M190" s="26">
        <f t="shared" si="223"/>
        <v>0</v>
      </c>
      <c r="N190" s="46">
        <f t="shared" si="224"/>
        <v>0</v>
      </c>
      <c r="O190" s="7"/>
      <c r="Z190" s="36">
        <f t="shared" si="225"/>
        <v>0</v>
      </c>
      <c r="AB190" s="36">
        <f t="shared" si="226"/>
        <v>0</v>
      </c>
      <c r="AC190" s="36">
        <f t="shared" si="227"/>
        <v>0</v>
      </c>
      <c r="AD190" s="36">
        <f t="shared" si="228"/>
        <v>0</v>
      </c>
      <c r="AE190" s="36">
        <f t="shared" si="229"/>
        <v>0</v>
      </c>
      <c r="AF190" s="36">
        <f t="shared" si="230"/>
        <v>0</v>
      </c>
      <c r="AG190" s="36">
        <f t="shared" si="231"/>
        <v>0</v>
      </c>
      <c r="AH190" s="36">
        <f t="shared" si="232"/>
        <v>0</v>
      </c>
      <c r="AI190" s="35" t="s">
        <v>208</v>
      </c>
      <c r="AJ190" s="26">
        <f t="shared" si="233"/>
        <v>0</v>
      </c>
      <c r="AK190" s="26">
        <f t="shared" si="234"/>
        <v>0</v>
      </c>
      <c r="AL190" s="26">
        <f t="shared" si="235"/>
        <v>0</v>
      </c>
      <c r="AN190" s="36">
        <v>21</v>
      </c>
      <c r="AO190" s="36">
        <f>K190*0</f>
        <v>0</v>
      </c>
      <c r="AP190" s="36">
        <f>K190*(1-0)</f>
        <v>0</v>
      </c>
      <c r="AQ190" s="37" t="s">
        <v>13</v>
      </c>
      <c r="AV190" s="36">
        <f t="shared" si="236"/>
        <v>0</v>
      </c>
      <c r="AW190" s="36">
        <f t="shared" si="237"/>
        <v>0</v>
      </c>
      <c r="AX190" s="36">
        <f t="shared" si="238"/>
        <v>0</v>
      </c>
      <c r="AY190" s="39" t="s">
        <v>493</v>
      </c>
      <c r="AZ190" s="39" t="s">
        <v>515</v>
      </c>
      <c r="BA190" s="35" t="s">
        <v>521</v>
      </c>
      <c r="BC190" s="36">
        <f t="shared" si="239"/>
        <v>0</v>
      </c>
      <c r="BD190" s="36">
        <f t="shared" si="240"/>
        <v>0</v>
      </c>
      <c r="BE190" s="36">
        <v>0</v>
      </c>
      <c r="BF190" s="36">
        <f>190</f>
        <v>190</v>
      </c>
      <c r="BH190" s="26">
        <f t="shared" si="241"/>
        <v>0</v>
      </c>
      <c r="BI190" s="26">
        <f t="shared" si="242"/>
        <v>0</v>
      </c>
      <c r="BJ190" s="26">
        <f t="shared" si="243"/>
        <v>0</v>
      </c>
      <c r="BK190" s="26" t="s">
        <v>526</v>
      </c>
      <c r="BL190" s="36">
        <v>722</v>
      </c>
    </row>
    <row r="191" spans="1:64" ht="12.75">
      <c r="A191" s="5" t="s">
        <v>152</v>
      </c>
      <c r="B191" s="16" t="s">
        <v>208</v>
      </c>
      <c r="C191" s="16" t="s">
        <v>268</v>
      </c>
      <c r="D191" s="127" t="s">
        <v>391</v>
      </c>
      <c r="E191" s="128"/>
      <c r="F191" s="128"/>
      <c r="G191" s="128"/>
      <c r="H191" s="128"/>
      <c r="I191" s="16" t="s">
        <v>462</v>
      </c>
      <c r="J191" s="26">
        <v>3</v>
      </c>
      <c r="K191" s="26">
        <v>0</v>
      </c>
      <c r="L191" s="26">
        <f t="shared" si="222"/>
        <v>0</v>
      </c>
      <c r="M191" s="26">
        <f t="shared" si="223"/>
        <v>0</v>
      </c>
      <c r="N191" s="46">
        <f t="shared" si="224"/>
        <v>0</v>
      </c>
      <c r="O191" s="7"/>
      <c r="Z191" s="36">
        <f t="shared" si="225"/>
        <v>0</v>
      </c>
      <c r="AB191" s="36">
        <f t="shared" si="226"/>
        <v>0</v>
      </c>
      <c r="AC191" s="36">
        <f t="shared" si="227"/>
        <v>0</v>
      </c>
      <c r="AD191" s="36">
        <f t="shared" si="228"/>
        <v>0</v>
      </c>
      <c r="AE191" s="36">
        <f t="shared" si="229"/>
        <v>0</v>
      </c>
      <c r="AF191" s="36">
        <f t="shared" si="230"/>
        <v>0</v>
      </c>
      <c r="AG191" s="36">
        <f t="shared" si="231"/>
        <v>0</v>
      </c>
      <c r="AH191" s="36">
        <f t="shared" si="232"/>
        <v>0</v>
      </c>
      <c r="AI191" s="35" t="s">
        <v>208</v>
      </c>
      <c r="AJ191" s="26">
        <f t="shared" si="233"/>
        <v>0</v>
      </c>
      <c r="AK191" s="26">
        <f t="shared" si="234"/>
        <v>0</v>
      </c>
      <c r="AL191" s="26">
        <f t="shared" si="235"/>
        <v>0</v>
      </c>
      <c r="AN191" s="36">
        <v>21</v>
      </c>
      <c r="AO191" s="36">
        <f>K191*0.31284248004228</f>
        <v>0</v>
      </c>
      <c r="AP191" s="36">
        <f>K191*(1-0.31284248004228)</f>
        <v>0</v>
      </c>
      <c r="AQ191" s="37" t="s">
        <v>13</v>
      </c>
      <c r="AV191" s="36">
        <f t="shared" si="236"/>
        <v>0</v>
      </c>
      <c r="AW191" s="36">
        <f t="shared" si="237"/>
        <v>0</v>
      </c>
      <c r="AX191" s="36">
        <f t="shared" si="238"/>
        <v>0</v>
      </c>
      <c r="AY191" s="39" t="s">
        <v>493</v>
      </c>
      <c r="AZ191" s="39" t="s">
        <v>515</v>
      </c>
      <c r="BA191" s="35" t="s">
        <v>521</v>
      </c>
      <c r="BC191" s="36">
        <f t="shared" si="239"/>
        <v>0</v>
      </c>
      <c r="BD191" s="36">
        <f t="shared" si="240"/>
        <v>0</v>
      </c>
      <c r="BE191" s="36">
        <v>0</v>
      </c>
      <c r="BF191" s="36">
        <f>191</f>
        <v>191</v>
      </c>
      <c r="BH191" s="26">
        <f t="shared" si="241"/>
        <v>0</v>
      </c>
      <c r="BI191" s="26">
        <f t="shared" si="242"/>
        <v>0</v>
      </c>
      <c r="BJ191" s="26">
        <f t="shared" si="243"/>
        <v>0</v>
      </c>
      <c r="BK191" s="26" t="s">
        <v>526</v>
      </c>
      <c r="BL191" s="36">
        <v>722</v>
      </c>
    </row>
    <row r="192" spans="1:64" ht="12.75">
      <c r="A192" s="5" t="s">
        <v>153</v>
      </c>
      <c r="B192" s="16" t="s">
        <v>208</v>
      </c>
      <c r="C192" s="16" t="s">
        <v>269</v>
      </c>
      <c r="D192" s="127" t="s">
        <v>392</v>
      </c>
      <c r="E192" s="128"/>
      <c r="F192" s="128"/>
      <c r="G192" s="128"/>
      <c r="H192" s="128"/>
      <c r="I192" s="16" t="s">
        <v>462</v>
      </c>
      <c r="J192" s="26">
        <v>3</v>
      </c>
      <c r="K192" s="26">
        <v>0</v>
      </c>
      <c r="L192" s="26">
        <f t="shared" si="222"/>
        <v>0</v>
      </c>
      <c r="M192" s="26">
        <f t="shared" si="223"/>
        <v>0</v>
      </c>
      <c r="N192" s="46">
        <f t="shared" si="224"/>
        <v>0</v>
      </c>
      <c r="O192" s="7"/>
      <c r="Z192" s="36">
        <f t="shared" si="225"/>
        <v>0</v>
      </c>
      <c r="AB192" s="36">
        <f t="shared" si="226"/>
        <v>0</v>
      </c>
      <c r="AC192" s="36">
        <f t="shared" si="227"/>
        <v>0</v>
      </c>
      <c r="AD192" s="36">
        <f t="shared" si="228"/>
        <v>0</v>
      </c>
      <c r="AE192" s="36">
        <f t="shared" si="229"/>
        <v>0</v>
      </c>
      <c r="AF192" s="36">
        <f t="shared" si="230"/>
        <v>0</v>
      </c>
      <c r="AG192" s="36">
        <f t="shared" si="231"/>
        <v>0</v>
      </c>
      <c r="AH192" s="36">
        <f t="shared" si="232"/>
        <v>0</v>
      </c>
      <c r="AI192" s="35" t="s">
        <v>208</v>
      </c>
      <c r="AJ192" s="26">
        <f t="shared" si="233"/>
        <v>0</v>
      </c>
      <c r="AK192" s="26">
        <f t="shared" si="234"/>
        <v>0</v>
      </c>
      <c r="AL192" s="26">
        <f t="shared" si="235"/>
        <v>0</v>
      </c>
      <c r="AN192" s="36">
        <v>21</v>
      </c>
      <c r="AO192" s="36">
        <f>K192*0.902748414376321</f>
        <v>0</v>
      </c>
      <c r="AP192" s="36">
        <f>K192*(1-0.902748414376321)</f>
        <v>0</v>
      </c>
      <c r="AQ192" s="37" t="s">
        <v>13</v>
      </c>
      <c r="AV192" s="36">
        <f t="shared" si="236"/>
        <v>0</v>
      </c>
      <c r="AW192" s="36">
        <f t="shared" si="237"/>
        <v>0</v>
      </c>
      <c r="AX192" s="36">
        <f t="shared" si="238"/>
        <v>0</v>
      </c>
      <c r="AY192" s="39" t="s">
        <v>493</v>
      </c>
      <c r="AZ192" s="39" t="s">
        <v>515</v>
      </c>
      <c r="BA192" s="35" t="s">
        <v>521</v>
      </c>
      <c r="BC192" s="36">
        <f t="shared" si="239"/>
        <v>0</v>
      </c>
      <c r="BD192" s="36">
        <f t="shared" si="240"/>
        <v>0</v>
      </c>
      <c r="BE192" s="36">
        <v>0</v>
      </c>
      <c r="BF192" s="36">
        <f>192</f>
        <v>192</v>
      </c>
      <c r="BH192" s="26">
        <f t="shared" si="241"/>
        <v>0</v>
      </c>
      <c r="BI192" s="26">
        <f t="shared" si="242"/>
        <v>0</v>
      </c>
      <c r="BJ192" s="26">
        <f t="shared" si="243"/>
        <v>0</v>
      </c>
      <c r="BK192" s="26" t="s">
        <v>526</v>
      </c>
      <c r="BL192" s="36">
        <v>722</v>
      </c>
    </row>
    <row r="193" spans="1:64" ht="12.75">
      <c r="A193" s="5" t="s">
        <v>154</v>
      </c>
      <c r="B193" s="16" t="s">
        <v>208</v>
      </c>
      <c r="C193" s="16" t="s">
        <v>270</v>
      </c>
      <c r="D193" s="127" t="s">
        <v>393</v>
      </c>
      <c r="E193" s="128"/>
      <c r="F193" s="128"/>
      <c r="G193" s="128"/>
      <c r="H193" s="128"/>
      <c r="I193" s="16" t="s">
        <v>462</v>
      </c>
      <c r="J193" s="26">
        <v>4</v>
      </c>
      <c r="K193" s="26">
        <v>0</v>
      </c>
      <c r="L193" s="26">
        <f t="shared" si="222"/>
        <v>0</v>
      </c>
      <c r="M193" s="26">
        <f t="shared" si="223"/>
        <v>0</v>
      </c>
      <c r="N193" s="46">
        <f t="shared" si="224"/>
        <v>0</v>
      </c>
      <c r="O193" s="7"/>
      <c r="Z193" s="36">
        <f t="shared" si="225"/>
        <v>0</v>
      </c>
      <c r="AB193" s="36">
        <f t="shared" si="226"/>
        <v>0</v>
      </c>
      <c r="AC193" s="36">
        <f t="shared" si="227"/>
        <v>0</v>
      </c>
      <c r="AD193" s="36">
        <f t="shared" si="228"/>
        <v>0</v>
      </c>
      <c r="AE193" s="36">
        <f t="shared" si="229"/>
        <v>0</v>
      </c>
      <c r="AF193" s="36">
        <f t="shared" si="230"/>
        <v>0</v>
      </c>
      <c r="AG193" s="36">
        <f t="shared" si="231"/>
        <v>0</v>
      </c>
      <c r="AH193" s="36">
        <f t="shared" si="232"/>
        <v>0</v>
      </c>
      <c r="AI193" s="35" t="s">
        <v>208</v>
      </c>
      <c r="AJ193" s="26">
        <f t="shared" si="233"/>
        <v>0</v>
      </c>
      <c r="AK193" s="26">
        <f t="shared" si="234"/>
        <v>0</v>
      </c>
      <c r="AL193" s="26">
        <f t="shared" si="235"/>
        <v>0</v>
      </c>
      <c r="AN193" s="36">
        <v>21</v>
      </c>
      <c r="AO193" s="36">
        <f>K193*0.398119122257053</f>
        <v>0</v>
      </c>
      <c r="AP193" s="36">
        <f>K193*(1-0.398119122257053)</f>
        <v>0</v>
      </c>
      <c r="AQ193" s="37" t="s">
        <v>13</v>
      </c>
      <c r="AV193" s="36">
        <f t="shared" si="236"/>
        <v>0</v>
      </c>
      <c r="AW193" s="36">
        <f t="shared" si="237"/>
        <v>0</v>
      </c>
      <c r="AX193" s="36">
        <f t="shared" si="238"/>
        <v>0</v>
      </c>
      <c r="AY193" s="39" t="s">
        <v>493</v>
      </c>
      <c r="AZ193" s="39" t="s">
        <v>515</v>
      </c>
      <c r="BA193" s="35" t="s">
        <v>521</v>
      </c>
      <c r="BC193" s="36">
        <f t="shared" si="239"/>
        <v>0</v>
      </c>
      <c r="BD193" s="36">
        <f t="shared" si="240"/>
        <v>0</v>
      </c>
      <c r="BE193" s="36">
        <v>0</v>
      </c>
      <c r="BF193" s="36">
        <f>193</f>
        <v>193</v>
      </c>
      <c r="BH193" s="26">
        <f t="shared" si="241"/>
        <v>0</v>
      </c>
      <c r="BI193" s="26">
        <f t="shared" si="242"/>
        <v>0</v>
      </c>
      <c r="BJ193" s="26">
        <f t="shared" si="243"/>
        <v>0</v>
      </c>
      <c r="BK193" s="26" t="s">
        <v>526</v>
      </c>
      <c r="BL193" s="36">
        <v>722</v>
      </c>
    </row>
    <row r="194" spans="1:64" ht="12.75">
      <c r="A194" s="5" t="s">
        <v>155</v>
      </c>
      <c r="B194" s="16" t="s">
        <v>208</v>
      </c>
      <c r="C194" s="16" t="s">
        <v>271</v>
      </c>
      <c r="D194" s="127" t="s">
        <v>394</v>
      </c>
      <c r="E194" s="128"/>
      <c r="F194" s="128"/>
      <c r="G194" s="128"/>
      <c r="H194" s="128"/>
      <c r="I194" s="16" t="s">
        <v>463</v>
      </c>
      <c r="J194" s="26">
        <v>0.7</v>
      </c>
      <c r="K194" s="26">
        <v>0</v>
      </c>
      <c r="L194" s="26">
        <f t="shared" si="222"/>
        <v>0</v>
      </c>
      <c r="M194" s="26">
        <f t="shared" si="223"/>
        <v>0</v>
      </c>
      <c r="N194" s="46">
        <f t="shared" si="224"/>
        <v>0</v>
      </c>
      <c r="O194" s="7"/>
      <c r="Z194" s="36">
        <f t="shared" si="225"/>
        <v>0</v>
      </c>
      <c r="AB194" s="36">
        <f t="shared" si="226"/>
        <v>0</v>
      </c>
      <c r="AC194" s="36">
        <f t="shared" si="227"/>
        <v>0</v>
      </c>
      <c r="AD194" s="36">
        <f t="shared" si="228"/>
        <v>0</v>
      </c>
      <c r="AE194" s="36">
        <f t="shared" si="229"/>
        <v>0</v>
      </c>
      <c r="AF194" s="36">
        <f t="shared" si="230"/>
        <v>0</v>
      </c>
      <c r="AG194" s="36">
        <f t="shared" si="231"/>
        <v>0</v>
      </c>
      <c r="AH194" s="36">
        <f t="shared" si="232"/>
        <v>0</v>
      </c>
      <c r="AI194" s="35" t="s">
        <v>208</v>
      </c>
      <c r="AJ194" s="26">
        <f t="shared" si="233"/>
        <v>0</v>
      </c>
      <c r="AK194" s="26">
        <f t="shared" si="234"/>
        <v>0</v>
      </c>
      <c r="AL194" s="26">
        <f t="shared" si="235"/>
        <v>0</v>
      </c>
      <c r="AN194" s="36">
        <v>21</v>
      </c>
      <c r="AO194" s="36">
        <f>K194*0</f>
        <v>0</v>
      </c>
      <c r="AP194" s="36">
        <f>K194*(1-0)</f>
        <v>0</v>
      </c>
      <c r="AQ194" s="37" t="s">
        <v>11</v>
      </c>
      <c r="AV194" s="36">
        <f t="shared" si="236"/>
        <v>0</v>
      </c>
      <c r="AW194" s="36">
        <f t="shared" si="237"/>
        <v>0</v>
      </c>
      <c r="AX194" s="36">
        <f t="shared" si="238"/>
        <v>0</v>
      </c>
      <c r="AY194" s="39" t="s">
        <v>493</v>
      </c>
      <c r="AZ194" s="39" t="s">
        <v>515</v>
      </c>
      <c r="BA194" s="35" t="s">
        <v>521</v>
      </c>
      <c r="BC194" s="36">
        <f t="shared" si="239"/>
        <v>0</v>
      </c>
      <c r="BD194" s="36">
        <f t="shared" si="240"/>
        <v>0</v>
      </c>
      <c r="BE194" s="36">
        <v>0</v>
      </c>
      <c r="BF194" s="36">
        <f>194</f>
        <v>194</v>
      </c>
      <c r="BH194" s="26">
        <f t="shared" si="241"/>
        <v>0</v>
      </c>
      <c r="BI194" s="26">
        <f t="shared" si="242"/>
        <v>0</v>
      </c>
      <c r="BJ194" s="26">
        <f t="shared" si="243"/>
        <v>0</v>
      </c>
      <c r="BK194" s="26" t="s">
        <v>526</v>
      </c>
      <c r="BL194" s="36">
        <v>722</v>
      </c>
    </row>
    <row r="195" spans="1:64" ht="12.75">
      <c r="A195" s="6" t="s">
        <v>156</v>
      </c>
      <c r="B195" s="17" t="s">
        <v>208</v>
      </c>
      <c r="C195" s="17" t="s">
        <v>247</v>
      </c>
      <c r="D195" s="133" t="s">
        <v>370</v>
      </c>
      <c r="E195" s="134"/>
      <c r="F195" s="134"/>
      <c r="G195" s="134"/>
      <c r="H195" s="134"/>
      <c r="I195" s="17" t="s">
        <v>462</v>
      </c>
      <c r="J195" s="27">
        <v>6</v>
      </c>
      <c r="K195" s="27">
        <v>0</v>
      </c>
      <c r="L195" s="27">
        <f t="shared" si="222"/>
        <v>0</v>
      </c>
      <c r="M195" s="27">
        <f t="shared" si="223"/>
        <v>0</v>
      </c>
      <c r="N195" s="47">
        <f t="shared" si="224"/>
        <v>0</v>
      </c>
      <c r="O195" s="7"/>
      <c r="Z195" s="36">
        <f t="shared" si="225"/>
        <v>0</v>
      </c>
      <c r="AB195" s="36">
        <f t="shared" si="226"/>
        <v>0</v>
      </c>
      <c r="AC195" s="36">
        <f t="shared" si="227"/>
        <v>0</v>
      </c>
      <c r="AD195" s="36">
        <f t="shared" si="228"/>
        <v>0</v>
      </c>
      <c r="AE195" s="36">
        <f t="shared" si="229"/>
        <v>0</v>
      </c>
      <c r="AF195" s="36">
        <f t="shared" si="230"/>
        <v>0</v>
      </c>
      <c r="AG195" s="36">
        <f t="shared" si="231"/>
        <v>0</v>
      </c>
      <c r="AH195" s="36">
        <f t="shared" si="232"/>
        <v>0</v>
      </c>
      <c r="AI195" s="35" t="s">
        <v>208</v>
      </c>
      <c r="AJ195" s="27">
        <f t="shared" si="233"/>
        <v>0</v>
      </c>
      <c r="AK195" s="27">
        <f t="shared" si="234"/>
        <v>0</v>
      </c>
      <c r="AL195" s="27">
        <f t="shared" si="235"/>
        <v>0</v>
      </c>
      <c r="AN195" s="36">
        <v>21</v>
      </c>
      <c r="AO195" s="36">
        <f>K195*1</f>
        <v>0</v>
      </c>
      <c r="AP195" s="36">
        <f>K195*(1-1)</f>
        <v>0</v>
      </c>
      <c r="AQ195" s="38" t="s">
        <v>13</v>
      </c>
      <c r="AV195" s="36">
        <f t="shared" si="236"/>
        <v>0</v>
      </c>
      <c r="AW195" s="36">
        <f t="shared" si="237"/>
        <v>0</v>
      </c>
      <c r="AX195" s="36">
        <f t="shared" si="238"/>
        <v>0</v>
      </c>
      <c r="AY195" s="39" t="s">
        <v>493</v>
      </c>
      <c r="AZ195" s="39" t="s">
        <v>515</v>
      </c>
      <c r="BA195" s="35" t="s">
        <v>521</v>
      </c>
      <c r="BC195" s="36">
        <f t="shared" si="239"/>
        <v>0</v>
      </c>
      <c r="BD195" s="36">
        <f t="shared" si="240"/>
        <v>0</v>
      </c>
      <c r="BE195" s="36">
        <v>0</v>
      </c>
      <c r="BF195" s="36">
        <f>195</f>
        <v>195</v>
      </c>
      <c r="BH195" s="27">
        <f t="shared" si="241"/>
        <v>0</v>
      </c>
      <c r="BI195" s="27">
        <f t="shared" si="242"/>
        <v>0</v>
      </c>
      <c r="BJ195" s="27">
        <f t="shared" si="243"/>
        <v>0</v>
      </c>
      <c r="BK195" s="27" t="s">
        <v>527</v>
      </c>
      <c r="BL195" s="36">
        <v>722</v>
      </c>
    </row>
    <row r="196" spans="1:64" ht="12.75">
      <c r="A196" s="6" t="s">
        <v>157</v>
      </c>
      <c r="B196" s="17" t="s">
        <v>208</v>
      </c>
      <c r="C196" s="17" t="s">
        <v>249</v>
      </c>
      <c r="D196" s="133" t="s">
        <v>372</v>
      </c>
      <c r="E196" s="134"/>
      <c r="F196" s="134"/>
      <c r="G196" s="134"/>
      <c r="H196" s="134"/>
      <c r="I196" s="17" t="s">
        <v>462</v>
      </c>
      <c r="J196" s="27">
        <v>6</v>
      </c>
      <c r="K196" s="27">
        <v>0</v>
      </c>
      <c r="L196" s="27">
        <f t="shared" si="222"/>
        <v>0</v>
      </c>
      <c r="M196" s="27">
        <f t="shared" si="223"/>
        <v>0</v>
      </c>
      <c r="N196" s="47">
        <f t="shared" si="224"/>
        <v>0</v>
      </c>
      <c r="O196" s="7"/>
      <c r="Z196" s="36">
        <f t="shared" si="225"/>
        <v>0</v>
      </c>
      <c r="AB196" s="36">
        <f t="shared" si="226"/>
        <v>0</v>
      </c>
      <c r="AC196" s="36">
        <f t="shared" si="227"/>
        <v>0</v>
      </c>
      <c r="AD196" s="36">
        <f t="shared" si="228"/>
        <v>0</v>
      </c>
      <c r="AE196" s="36">
        <f t="shared" si="229"/>
        <v>0</v>
      </c>
      <c r="AF196" s="36">
        <f t="shared" si="230"/>
        <v>0</v>
      </c>
      <c r="AG196" s="36">
        <f t="shared" si="231"/>
        <v>0</v>
      </c>
      <c r="AH196" s="36">
        <f t="shared" si="232"/>
        <v>0</v>
      </c>
      <c r="AI196" s="35" t="s">
        <v>208</v>
      </c>
      <c r="AJ196" s="27">
        <f t="shared" si="233"/>
        <v>0</v>
      </c>
      <c r="AK196" s="27">
        <f t="shared" si="234"/>
        <v>0</v>
      </c>
      <c r="AL196" s="27">
        <f t="shared" si="235"/>
        <v>0</v>
      </c>
      <c r="AN196" s="36">
        <v>21</v>
      </c>
      <c r="AO196" s="36">
        <f>K196*1</f>
        <v>0</v>
      </c>
      <c r="AP196" s="36">
        <f>K196*(1-1)</f>
        <v>0</v>
      </c>
      <c r="AQ196" s="38" t="s">
        <v>13</v>
      </c>
      <c r="AV196" s="36">
        <f t="shared" si="236"/>
        <v>0</v>
      </c>
      <c r="AW196" s="36">
        <f t="shared" si="237"/>
        <v>0</v>
      </c>
      <c r="AX196" s="36">
        <f t="shared" si="238"/>
        <v>0</v>
      </c>
      <c r="AY196" s="39" t="s">
        <v>493</v>
      </c>
      <c r="AZ196" s="39" t="s">
        <v>515</v>
      </c>
      <c r="BA196" s="35" t="s">
        <v>521</v>
      </c>
      <c r="BC196" s="36">
        <f t="shared" si="239"/>
        <v>0</v>
      </c>
      <c r="BD196" s="36">
        <f t="shared" si="240"/>
        <v>0</v>
      </c>
      <c r="BE196" s="36">
        <v>0</v>
      </c>
      <c r="BF196" s="36">
        <f>196</f>
        <v>196</v>
      </c>
      <c r="BH196" s="27">
        <f t="shared" si="241"/>
        <v>0</v>
      </c>
      <c r="BI196" s="27">
        <f t="shared" si="242"/>
        <v>0</v>
      </c>
      <c r="BJ196" s="27">
        <f t="shared" si="243"/>
        <v>0</v>
      </c>
      <c r="BK196" s="27" t="s">
        <v>527</v>
      </c>
      <c r="BL196" s="36">
        <v>722</v>
      </c>
    </row>
    <row r="197" spans="1:64" ht="12.75">
      <c r="A197" s="6" t="s">
        <v>158</v>
      </c>
      <c r="B197" s="17" t="s">
        <v>208</v>
      </c>
      <c r="C197" s="17" t="s">
        <v>260</v>
      </c>
      <c r="D197" s="133" t="s">
        <v>383</v>
      </c>
      <c r="E197" s="134"/>
      <c r="F197" s="134"/>
      <c r="G197" s="134"/>
      <c r="H197" s="134"/>
      <c r="I197" s="17" t="s">
        <v>462</v>
      </c>
      <c r="J197" s="27">
        <v>3</v>
      </c>
      <c r="K197" s="27">
        <v>0</v>
      </c>
      <c r="L197" s="27">
        <f t="shared" si="222"/>
        <v>0</v>
      </c>
      <c r="M197" s="27">
        <f t="shared" si="223"/>
        <v>0</v>
      </c>
      <c r="N197" s="47">
        <f t="shared" si="224"/>
        <v>0</v>
      </c>
      <c r="O197" s="7"/>
      <c r="Z197" s="36">
        <f t="shared" si="225"/>
        <v>0</v>
      </c>
      <c r="AB197" s="36">
        <f t="shared" si="226"/>
        <v>0</v>
      </c>
      <c r="AC197" s="36">
        <f t="shared" si="227"/>
        <v>0</v>
      </c>
      <c r="AD197" s="36">
        <f t="shared" si="228"/>
        <v>0</v>
      </c>
      <c r="AE197" s="36">
        <f t="shared" si="229"/>
        <v>0</v>
      </c>
      <c r="AF197" s="36">
        <f t="shared" si="230"/>
        <v>0</v>
      </c>
      <c r="AG197" s="36">
        <f t="shared" si="231"/>
        <v>0</v>
      </c>
      <c r="AH197" s="36">
        <f t="shared" si="232"/>
        <v>0</v>
      </c>
      <c r="AI197" s="35" t="s">
        <v>208</v>
      </c>
      <c r="AJ197" s="27">
        <f t="shared" si="233"/>
        <v>0</v>
      </c>
      <c r="AK197" s="27">
        <f t="shared" si="234"/>
        <v>0</v>
      </c>
      <c r="AL197" s="27">
        <f t="shared" si="235"/>
        <v>0</v>
      </c>
      <c r="AN197" s="36">
        <v>21</v>
      </c>
      <c r="AO197" s="36">
        <f>K197*1</f>
        <v>0</v>
      </c>
      <c r="AP197" s="36">
        <f>K197*(1-1)</f>
        <v>0</v>
      </c>
      <c r="AQ197" s="38" t="s">
        <v>13</v>
      </c>
      <c r="AV197" s="36">
        <f t="shared" si="236"/>
        <v>0</v>
      </c>
      <c r="AW197" s="36">
        <f t="shared" si="237"/>
        <v>0</v>
      </c>
      <c r="AX197" s="36">
        <f t="shared" si="238"/>
        <v>0</v>
      </c>
      <c r="AY197" s="39" t="s">
        <v>493</v>
      </c>
      <c r="AZ197" s="39" t="s">
        <v>515</v>
      </c>
      <c r="BA197" s="35" t="s">
        <v>521</v>
      </c>
      <c r="BC197" s="36">
        <f t="shared" si="239"/>
        <v>0</v>
      </c>
      <c r="BD197" s="36">
        <f t="shared" si="240"/>
        <v>0</v>
      </c>
      <c r="BE197" s="36">
        <v>0</v>
      </c>
      <c r="BF197" s="36">
        <f>197</f>
        <v>197</v>
      </c>
      <c r="BH197" s="27">
        <f t="shared" si="241"/>
        <v>0</v>
      </c>
      <c r="BI197" s="27">
        <f t="shared" si="242"/>
        <v>0</v>
      </c>
      <c r="BJ197" s="27">
        <f t="shared" si="243"/>
        <v>0</v>
      </c>
      <c r="BK197" s="27" t="s">
        <v>527</v>
      </c>
      <c r="BL197" s="36">
        <v>722</v>
      </c>
    </row>
    <row r="198" spans="1:64" ht="12.75">
      <c r="A198" s="6" t="s">
        <v>159</v>
      </c>
      <c r="B198" s="17" t="s">
        <v>208</v>
      </c>
      <c r="C198" s="17" t="s">
        <v>261</v>
      </c>
      <c r="D198" s="133" t="s">
        <v>384</v>
      </c>
      <c r="E198" s="134"/>
      <c r="F198" s="134"/>
      <c r="G198" s="134"/>
      <c r="H198" s="134"/>
      <c r="I198" s="17" t="s">
        <v>462</v>
      </c>
      <c r="J198" s="27">
        <v>3</v>
      </c>
      <c r="K198" s="27">
        <v>0</v>
      </c>
      <c r="L198" s="27">
        <f t="shared" si="222"/>
        <v>0</v>
      </c>
      <c r="M198" s="27">
        <f t="shared" si="223"/>
        <v>0</v>
      </c>
      <c r="N198" s="47">
        <f t="shared" si="224"/>
        <v>0</v>
      </c>
      <c r="O198" s="7"/>
      <c r="Z198" s="36">
        <f t="shared" si="225"/>
        <v>0</v>
      </c>
      <c r="AB198" s="36">
        <f t="shared" si="226"/>
        <v>0</v>
      </c>
      <c r="AC198" s="36">
        <f t="shared" si="227"/>
        <v>0</v>
      </c>
      <c r="AD198" s="36">
        <f t="shared" si="228"/>
        <v>0</v>
      </c>
      <c r="AE198" s="36">
        <f t="shared" si="229"/>
        <v>0</v>
      </c>
      <c r="AF198" s="36">
        <f t="shared" si="230"/>
        <v>0</v>
      </c>
      <c r="AG198" s="36">
        <f t="shared" si="231"/>
        <v>0</v>
      </c>
      <c r="AH198" s="36">
        <f t="shared" si="232"/>
        <v>0</v>
      </c>
      <c r="AI198" s="35" t="s">
        <v>208</v>
      </c>
      <c r="AJ198" s="27">
        <f t="shared" si="233"/>
        <v>0</v>
      </c>
      <c r="AK198" s="27">
        <f t="shared" si="234"/>
        <v>0</v>
      </c>
      <c r="AL198" s="27">
        <f t="shared" si="235"/>
        <v>0</v>
      </c>
      <c r="AN198" s="36">
        <v>21</v>
      </c>
      <c r="AO198" s="36">
        <f>K198*1</f>
        <v>0</v>
      </c>
      <c r="AP198" s="36">
        <f>K198*(1-1)</f>
        <v>0</v>
      </c>
      <c r="AQ198" s="38" t="s">
        <v>13</v>
      </c>
      <c r="AV198" s="36">
        <f t="shared" si="236"/>
        <v>0</v>
      </c>
      <c r="AW198" s="36">
        <f t="shared" si="237"/>
        <v>0</v>
      </c>
      <c r="AX198" s="36">
        <f t="shared" si="238"/>
        <v>0</v>
      </c>
      <c r="AY198" s="39" t="s">
        <v>493</v>
      </c>
      <c r="AZ198" s="39" t="s">
        <v>515</v>
      </c>
      <c r="BA198" s="35" t="s">
        <v>521</v>
      </c>
      <c r="BC198" s="36">
        <f t="shared" si="239"/>
        <v>0</v>
      </c>
      <c r="BD198" s="36">
        <f t="shared" si="240"/>
        <v>0</v>
      </c>
      <c r="BE198" s="36">
        <v>0</v>
      </c>
      <c r="BF198" s="36">
        <f>198</f>
        <v>198</v>
      </c>
      <c r="BH198" s="27">
        <f t="shared" si="241"/>
        <v>0</v>
      </c>
      <c r="BI198" s="27">
        <f t="shared" si="242"/>
        <v>0</v>
      </c>
      <c r="BJ198" s="27">
        <f t="shared" si="243"/>
        <v>0</v>
      </c>
      <c r="BK198" s="27" t="s">
        <v>527</v>
      </c>
      <c r="BL198" s="36">
        <v>722</v>
      </c>
    </row>
    <row r="199" spans="1:47" ht="12.75">
      <c r="A199" s="4"/>
      <c r="B199" s="15" t="s">
        <v>208</v>
      </c>
      <c r="C199" s="15" t="s">
        <v>272</v>
      </c>
      <c r="D199" s="129" t="s">
        <v>395</v>
      </c>
      <c r="E199" s="130"/>
      <c r="F199" s="130"/>
      <c r="G199" s="130"/>
      <c r="H199" s="130"/>
      <c r="I199" s="23" t="s">
        <v>6</v>
      </c>
      <c r="J199" s="23" t="s">
        <v>6</v>
      </c>
      <c r="K199" s="23" t="s">
        <v>6</v>
      </c>
      <c r="L199" s="42">
        <f>SUM(L200:L205)</f>
        <v>0</v>
      </c>
      <c r="M199" s="42">
        <f>SUM(M200:M205)</f>
        <v>0</v>
      </c>
      <c r="N199" s="45">
        <f>SUM(N200:N205)</f>
        <v>0</v>
      </c>
      <c r="O199" s="7"/>
      <c r="AI199" s="35" t="s">
        <v>208</v>
      </c>
      <c r="AS199" s="42">
        <f>SUM(AJ200:AJ205)</f>
        <v>0</v>
      </c>
      <c r="AT199" s="42">
        <f>SUM(AK200:AK205)</f>
        <v>0</v>
      </c>
      <c r="AU199" s="42">
        <f>SUM(AL200:AL205)</f>
        <v>0</v>
      </c>
    </row>
    <row r="200" spans="1:64" ht="12.75">
      <c r="A200" s="5" t="s">
        <v>160</v>
      </c>
      <c r="B200" s="16" t="s">
        <v>208</v>
      </c>
      <c r="C200" s="16" t="s">
        <v>273</v>
      </c>
      <c r="D200" s="127" t="s">
        <v>396</v>
      </c>
      <c r="E200" s="128"/>
      <c r="F200" s="128"/>
      <c r="G200" s="128"/>
      <c r="H200" s="128"/>
      <c r="I200" s="16" t="s">
        <v>461</v>
      </c>
      <c r="J200" s="26">
        <v>33</v>
      </c>
      <c r="K200" s="26">
        <v>0</v>
      </c>
      <c r="L200" s="26">
        <f aca="true" t="shared" si="244" ref="L200:L205">J200*AO200</f>
        <v>0</v>
      </c>
      <c r="M200" s="26">
        <f aca="true" t="shared" si="245" ref="M200:M205">J200*AP200</f>
        <v>0</v>
      </c>
      <c r="N200" s="46">
        <f aca="true" t="shared" si="246" ref="N200:N205">J200*K200</f>
        <v>0</v>
      </c>
      <c r="O200" s="7"/>
      <c r="Z200" s="36">
        <f aca="true" t="shared" si="247" ref="Z200:Z205">IF(AQ200="5",BJ200,0)</f>
        <v>0</v>
      </c>
      <c r="AB200" s="36">
        <f aca="true" t="shared" si="248" ref="AB200:AB205">IF(AQ200="1",BH200,0)</f>
        <v>0</v>
      </c>
      <c r="AC200" s="36">
        <f aca="true" t="shared" si="249" ref="AC200:AC205">IF(AQ200="1",BI200,0)</f>
        <v>0</v>
      </c>
      <c r="AD200" s="36">
        <f aca="true" t="shared" si="250" ref="AD200:AD205">IF(AQ200="7",BH200,0)</f>
        <v>0</v>
      </c>
      <c r="AE200" s="36">
        <f aca="true" t="shared" si="251" ref="AE200:AE205">IF(AQ200="7",BI200,0)</f>
        <v>0</v>
      </c>
      <c r="AF200" s="36">
        <f aca="true" t="shared" si="252" ref="AF200:AF205">IF(AQ200="2",BH200,0)</f>
        <v>0</v>
      </c>
      <c r="AG200" s="36">
        <f aca="true" t="shared" si="253" ref="AG200:AG205">IF(AQ200="2",BI200,0)</f>
        <v>0</v>
      </c>
      <c r="AH200" s="36">
        <f aca="true" t="shared" si="254" ref="AH200:AH205">IF(AQ200="0",BJ200,0)</f>
        <v>0</v>
      </c>
      <c r="AI200" s="35" t="s">
        <v>208</v>
      </c>
      <c r="AJ200" s="26">
        <f aca="true" t="shared" si="255" ref="AJ200:AJ205">IF(AN200=0,N200,0)</f>
        <v>0</v>
      </c>
      <c r="AK200" s="26">
        <f aca="true" t="shared" si="256" ref="AK200:AK205">IF(AN200=15,N200,0)</f>
        <v>0</v>
      </c>
      <c r="AL200" s="26">
        <f aca="true" t="shared" si="257" ref="AL200:AL205">IF(AN200=21,N200,0)</f>
        <v>0</v>
      </c>
      <c r="AN200" s="36">
        <v>21</v>
      </c>
      <c r="AO200" s="36">
        <f>K200*0</f>
        <v>0</v>
      </c>
      <c r="AP200" s="36">
        <f>K200*(1-0)</f>
        <v>0</v>
      </c>
      <c r="AQ200" s="37" t="s">
        <v>13</v>
      </c>
      <c r="AV200" s="36">
        <f aca="true" t="shared" si="258" ref="AV200:AV205">AW200+AX200</f>
        <v>0</v>
      </c>
      <c r="AW200" s="36">
        <f aca="true" t="shared" si="259" ref="AW200:AW205">J200*AO200</f>
        <v>0</v>
      </c>
      <c r="AX200" s="36">
        <f aca="true" t="shared" si="260" ref="AX200:AX205">J200*AP200</f>
        <v>0</v>
      </c>
      <c r="AY200" s="39" t="s">
        <v>494</v>
      </c>
      <c r="AZ200" s="39" t="s">
        <v>513</v>
      </c>
      <c r="BA200" s="35" t="s">
        <v>521</v>
      </c>
      <c r="BC200" s="36">
        <f aca="true" t="shared" si="261" ref="BC200:BC205">AW200+AX200</f>
        <v>0</v>
      </c>
      <c r="BD200" s="36">
        <f aca="true" t="shared" si="262" ref="BD200:BD205">K200/(100-BE200)*100</f>
        <v>0</v>
      </c>
      <c r="BE200" s="36">
        <v>0</v>
      </c>
      <c r="BF200" s="36">
        <f>200</f>
        <v>200</v>
      </c>
      <c r="BH200" s="26">
        <f aca="true" t="shared" si="263" ref="BH200:BH205">J200*AO200</f>
        <v>0</v>
      </c>
      <c r="BI200" s="26">
        <f aca="true" t="shared" si="264" ref="BI200:BI205">J200*AP200</f>
        <v>0</v>
      </c>
      <c r="BJ200" s="26">
        <f aca="true" t="shared" si="265" ref="BJ200:BJ205">J200*K200</f>
        <v>0</v>
      </c>
      <c r="BK200" s="26" t="s">
        <v>526</v>
      </c>
      <c r="BL200" s="36">
        <v>772</v>
      </c>
    </row>
    <row r="201" spans="1:64" ht="12.75">
      <c r="A201" s="5" t="s">
        <v>161</v>
      </c>
      <c r="B201" s="16" t="s">
        <v>208</v>
      </c>
      <c r="C201" s="16" t="s">
        <v>274</v>
      </c>
      <c r="D201" s="127" t="s">
        <v>397</v>
      </c>
      <c r="E201" s="128"/>
      <c r="F201" s="128"/>
      <c r="G201" s="128"/>
      <c r="H201" s="128"/>
      <c r="I201" s="16" t="s">
        <v>461</v>
      </c>
      <c r="J201" s="26">
        <v>33</v>
      </c>
      <c r="K201" s="26">
        <v>0</v>
      </c>
      <c r="L201" s="26">
        <f t="shared" si="244"/>
        <v>0</v>
      </c>
      <c r="M201" s="26">
        <f t="shared" si="245"/>
        <v>0</v>
      </c>
      <c r="N201" s="46">
        <f t="shared" si="246"/>
        <v>0</v>
      </c>
      <c r="O201" s="7"/>
      <c r="Z201" s="36">
        <f t="shared" si="247"/>
        <v>0</v>
      </c>
      <c r="AB201" s="36">
        <f t="shared" si="248"/>
        <v>0</v>
      </c>
      <c r="AC201" s="36">
        <f t="shared" si="249"/>
        <v>0</v>
      </c>
      <c r="AD201" s="36">
        <f t="shared" si="250"/>
        <v>0</v>
      </c>
      <c r="AE201" s="36">
        <f t="shared" si="251"/>
        <v>0</v>
      </c>
      <c r="AF201" s="36">
        <f t="shared" si="252"/>
        <v>0</v>
      </c>
      <c r="AG201" s="36">
        <f t="shared" si="253"/>
        <v>0</v>
      </c>
      <c r="AH201" s="36">
        <f t="shared" si="254"/>
        <v>0</v>
      </c>
      <c r="AI201" s="35" t="s">
        <v>208</v>
      </c>
      <c r="AJ201" s="26">
        <f t="shared" si="255"/>
        <v>0</v>
      </c>
      <c r="AK201" s="26">
        <f t="shared" si="256"/>
        <v>0</v>
      </c>
      <c r="AL201" s="26">
        <f t="shared" si="257"/>
        <v>0</v>
      </c>
      <c r="AN201" s="36">
        <v>21</v>
      </c>
      <c r="AO201" s="36">
        <f>K201*0.251769662921348</f>
        <v>0</v>
      </c>
      <c r="AP201" s="36">
        <f>K201*(1-0.251769662921348)</f>
        <v>0</v>
      </c>
      <c r="AQ201" s="37" t="s">
        <v>13</v>
      </c>
      <c r="AV201" s="36">
        <f t="shared" si="258"/>
        <v>0</v>
      </c>
      <c r="AW201" s="36">
        <f t="shared" si="259"/>
        <v>0</v>
      </c>
      <c r="AX201" s="36">
        <f t="shared" si="260"/>
        <v>0</v>
      </c>
      <c r="AY201" s="39" t="s">
        <v>494</v>
      </c>
      <c r="AZ201" s="39" t="s">
        <v>513</v>
      </c>
      <c r="BA201" s="35" t="s">
        <v>521</v>
      </c>
      <c r="BC201" s="36">
        <f t="shared" si="261"/>
        <v>0</v>
      </c>
      <c r="BD201" s="36">
        <f t="shared" si="262"/>
        <v>0</v>
      </c>
      <c r="BE201" s="36">
        <v>0</v>
      </c>
      <c r="BF201" s="36">
        <f>201</f>
        <v>201</v>
      </c>
      <c r="BH201" s="26">
        <f t="shared" si="263"/>
        <v>0</v>
      </c>
      <c r="BI201" s="26">
        <f t="shared" si="264"/>
        <v>0</v>
      </c>
      <c r="BJ201" s="26">
        <f t="shared" si="265"/>
        <v>0</v>
      </c>
      <c r="BK201" s="26" t="s">
        <v>526</v>
      </c>
      <c r="BL201" s="36">
        <v>772</v>
      </c>
    </row>
    <row r="202" spans="1:64" ht="12.75">
      <c r="A202" s="5" t="s">
        <v>162</v>
      </c>
      <c r="B202" s="16" t="s">
        <v>208</v>
      </c>
      <c r="C202" s="16" t="s">
        <v>275</v>
      </c>
      <c r="D202" s="127" t="s">
        <v>398</v>
      </c>
      <c r="E202" s="128"/>
      <c r="F202" s="128"/>
      <c r="G202" s="128"/>
      <c r="H202" s="128"/>
      <c r="I202" s="16" t="s">
        <v>462</v>
      </c>
      <c r="J202" s="26">
        <v>5</v>
      </c>
      <c r="K202" s="26">
        <v>0</v>
      </c>
      <c r="L202" s="26">
        <f t="shared" si="244"/>
        <v>0</v>
      </c>
      <c r="M202" s="26">
        <f t="shared" si="245"/>
        <v>0</v>
      </c>
      <c r="N202" s="46">
        <f t="shared" si="246"/>
        <v>0</v>
      </c>
      <c r="O202" s="7"/>
      <c r="Z202" s="36">
        <f t="shared" si="247"/>
        <v>0</v>
      </c>
      <c r="AB202" s="36">
        <f t="shared" si="248"/>
        <v>0</v>
      </c>
      <c r="AC202" s="36">
        <f t="shared" si="249"/>
        <v>0</v>
      </c>
      <c r="AD202" s="36">
        <f t="shared" si="250"/>
        <v>0</v>
      </c>
      <c r="AE202" s="36">
        <f t="shared" si="251"/>
        <v>0</v>
      </c>
      <c r="AF202" s="36">
        <f t="shared" si="252"/>
        <v>0</v>
      </c>
      <c r="AG202" s="36">
        <f t="shared" si="253"/>
        <v>0</v>
      </c>
      <c r="AH202" s="36">
        <f t="shared" si="254"/>
        <v>0</v>
      </c>
      <c r="AI202" s="35" t="s">
        <v>208</v>
      </c>
      <c r="AJ202" s="26">
        <f t="shared" si="255"/>
        <v>0</v>
      </c>
      <c r="AK202" s="26">
        <f t="shared" si="256"/>
        <v>0</v>
      </c>
      <c r="AL202" s="26">
        <f t="shared" si="257"/>
        <v>0</v>
      </c>
      <c r="AN202" s="36">
        <v>21</v>
      </c>
      <c r="AO202" s="36">
        <f>K202*0</f>
        <v>0</v>
      </c>
      <c r="AP202" s="36">
        <f>K202*(1-0)</f>
        <v>0</v>
      </c>
      <c r="AQ202" s="37" t="s">
        <v>13</v>
      </c>
      <c r="AV202" s="36">
        <f t="shared" si="258"/>
        <v>0</v>
      </c>
      <c r="AW202" s="36">
        <f t="shared" si="259"/>
        <v>0</v>
      </c>
      <c r="AX202" s="36">
        <f t="shared" si="260"/>
        <v>0</v>
      </c>
      <c r="AY202" s="39" t="s">
        <v>494</v>
      </c>
      <c r="AZ202" s="39" t="s">
        <v>513</v>
      </c>
      <c r="BA202" s="35" t="s">
        <v>521</v>
      </c>
      <c r="BC202" s="36">
        <f t="shared" si="261"/>
        <v>0</v>
      </c>
      <c r="BD202" s="36">
        <f t="shared" si="262"/>
        <v>0</v>
      </c>
      <c r="BE202" s="36">
        <v>0</v>
      </c>
      <c r="BF202" s="36">
        <f>202</f>
        <v>202</v>
      </c>
      <c r="BH202" s="26">
        <f t="shared" si="263"/>
        <v>0</v>
      </c>
      <c r="BI202" s="26">
        <f t="shared" si="264"/>
        <v>0</v>
      </c>
      <c r="BJ202" s="26">
        <f t="shared" si="265"/>
        <v>0</v>
      </c>
      <c r="BK202" s="26" t="s">
        <v>526</v>
      </c>
      <c r="BL202" s="36">
        <v>772</v>
      </c>
    </row>
    <row r="203" spans="1:64" ht="12.75">
      <c r="A203" s="5" t="s">
        <v>163</v>
      </c>
      <c r="B203" s="16" t="s">
        <v>208</v>
      </c>
      <c r="C203" s="16" t="s">
        <v>276</v>
      </c>
      <c r="D203" s="127" t="s">
        <v>399</v>
      </c>
      <c r="E203" s="128"/>
      <c r="F203" s="128"/>
      <c r="G203" s="128"/>
      <c r="H203" s="128"/>
      <c r="I203" s="16" t="s">
        <v>462</v>
      </c>
      <c r="J203" s="26">
        <v>2</v>
      </c>
      <c r="K203" s="26">
        <v>0</v>
      </c>
      <c r="L203" s="26">
        <f t="shared" si="244"/>
        <v>0</v>
      </c>
      <c r="M203" s="26">
        <f t="shared" si="245"/>
        <v>0</v>
      </c>
      <c r="N203" s="46">
        <f t="shared" si="246"/>
        <v>0</v>
      </c>
      <c r="O203" s="7"/>
      <c r="Z203" s="36">
        <f t="shared" si="247"/>
        <v>0</v>
      </c>
      <c r="AB203" s="36">
        <f t="shared" si="248"/>
        <v>0</v>
      </c>
      <c r="AC203" s="36">
        <f t="shared" si="249"/>
        <v>0</v>
      </c>
      <c r="AD203" s="36">
        <f t="shared" si="250"/>
        <v>0</v>
      </c>
      <c r="AE203" s="36">
        <f t="shared" si="251"/>
        <v>0</v>
      </c>
      <c r="AF203" s="36">
        <f t="shared" si="252"/>
        <v>0</v>
      </c>
      <c r="AG203" s="36">
        <f t="shared" si="253"/>
        <v>0</v>
      </c>
      <c r="AH203" s="36">
        <f t="shared" si="254"/>
        <v>0</v>
      </c>
      <c r="AI203" s="35" t="s">
        <v>208</v>
      </c>
      <c r="AJ203" s="26">
        <f t="shared" si="255"/>
        <v>0</v>
      </c>
      <c r="AK203" s="26">
        <f t="shared" si="256"/>
        <v>0</v>
      </c>
      <c r="AL203" s="26">
        <f t="shared" si="257"/>
        <v>0</v>
      </c>
      <c r="AN203" s="36">
        <v>21</v>
      </c>
      <c r="AO203" s="36">
        <f>K203*0</f>
        <v>0</v>
      </c>
      <c r="AP203" s="36">
        <f>K203*(1-0)</f>
        <v>0</v>
      </c>
      <c r="AQ203" s="37" t="s">
        <v>13</v>
      </c>
      <c r="AV203" s="36">
        <f t="shared" si="258"/>
        <v>0</v>
      </c>
      <c r="AW203" s="36">
        <f t="shared" si="259"/>
        <v>0</v>
      </c>
      <c r="AX203" s="36">
        <f t="shared" si="260"/>
        <v>0</v>
      </c>
      <c r="AY203" s="39" t="s">
        <v>494</v>
      </c>
      <c r="AZ203" s="39" t="s">
        <v>513</v>
      </c>
      <c r="BA203" s="35" t="s">
        <v>521</v>
      </c>
      <c r="BC203" s="36">
        <f t="shared" si="261"/>
        <v>0</v>
      </c>
      <c r="BD203" s="36">
        <f t="shared" si="262"/>
        <v>0</v>
      </c>
      <c r="BE203" s="36">
        <v>0</v>
      </c>
      <c r="BF203" s="36">
        <f>203</f>
        <v>203</v>
      </c>
      <c r="BH203" s="26">
        <f t="shared" si="263"/>
        <v>0</v>
      </c>
      <c r="BI203" s="26">
        <f t="shared" si="264"/>
        <v>0</v>
      </c>
      <c r="BJ203" s="26">
        <f t="shared" si="265"/>
        <v>0</v>
      </c>
      <c r="BK203" s="26" t="s">
        <v>526</v>
      </c>
      <c r="BL203" s="36">
        <v>772</v>
      </c>
    </row>
    <row r="204" spans="1:64" ht="12.75">
      <c r="A204" s="5" t="s">
        <v>164</v>
      </c>
      <c r="B204" s="16" t="s">
        <v>208</v>
      </c>
      <c r="C204" s="16" t="s">
        <v>242</v>
      </c>
      <c r="D204" s="127" t="s">
        <v>365</v>
      </c>
      <c r="E204" s="128"/>
      <c r="F204" s="128"/>
      <c r="G204" s="128"/>
      <c r="H204" s="128"/>
      <c r="I204" s="16" t="s">
        <v>465</v>
      </c>
      <c r="J204" s="26">
        <v>1</v>
      </c>
      <c r="K204" s="26">
        <v>0</v>
      </c>
      <c r="L204" s="26">
        <f t="shared" si="244"/>
        <v>0</v>
      </c>
      <c r="M204" s="26">
        <f t="shared" si="245"/>
        <v>0</v>
      </c>
      <c r="N204" s="46">
        <f t="shared" si="246"/>
        <v>0</v>
      </c>
      <c r="O204" s="7"/>
      <c r="Z204" s="36">
        <f t="shared" si="247"/>
        <v>0</v>
      </c>
      <c r="AB204" s="36">
        <f t="shared" si="248"/>
        <v>0</v>
      </c>
      <c r="AC204" s="36">
        <f t="shared" si="249"/>
        <v>0</v>
      </c>
      <c r="AD204" s="36">
        <f t="shared" si="250"/>
        <v>0</v>
      </c>
      <c r="AE204" s="36">
        <f t="shared" si="251"/>
        <v>0</v>
      </c>
      <c r="AF204" s="36">
        <f t="shared" si="252"/>
        <v>0</v>
      </c>
      <c r="AG204" s="36">
        <f t="shared" si="253"/>
        <v>0</v>
      </c>
      <c r="AH204" s="36">
        <f t="shared" si="254"/>
        <v>0</v>
      </c>
      <c r="AI204" s="35" t="s">
        <v>208</v>
      </c>
      <c r="AJ204" s="26">
        <f t="shared" si="255"/>
        <v>0</v>
      </c>
      <c r="AK204" s="26">
        <f t="shared" si="256"/>
        <v>0</v>
      </c>
      <c r="AL204" s="26">
        <f t="shared" si="257"/>
        <v>0</v>
      </c>
      <c r="AN204" s="36">
        <v>21</v>
      </c>
      <c r="AO204" s="36">
        <f>K204*0</f>
        <v>0</v>
      </c>
      <c r="AP204" s="36">
        <f>K204*(1-0)</f>
        <v>0</v>
      </c>
      <c r="AQ204" s="37" t="s">
        <v>13</v>
      </c>
      <c r="AV204" s="36">
        <f t="shared" si="258"/>
        <v>0</v>
      </c>
      <c r="AW204" s="36">
        <f t="shared" si="259"/>
        <v>0</v>
      </c>
      <c r="AX204" s="36">
        <f t="shared" si="260"/>
        <v>0</v>
      </c>
      <c r="AY204" s="39" t="s">
        <v>494</v>
      </c>
      <c r="AZ204" s="39" t="s">
        <v>513</v>
      </c>
      <c r="BA204" s="35" t="s">
        <v>521</v>
      </c>
      <c r="BC204" s="36">
        <f t="shared" si="261"/>
        <v>0</v>
      </c>
      <c r="BD204" s="36">
        <f t="shared" si="262"/>
        <v>0</v>
      </c>
      <c r="BE204" s="36">
        <v>0</v>
      </c>
      <c r="BF204" s="36">
        <f>204</f>
        <v>204</v>
      </c>
      <c r="BH204" s="26">
        <f t="shared" si="263"/>
        <v>0</v>
      </c>
      <c r="BI204" s="26">
        <f t="shared" si="264"/>
        <v>0</v>
      </c>
      <c r="BJ204" s="26">
        <f t="shared" si="265"/>
        <v>0</v>
      </c>
      <c r="BK204" s="26" t="s">
        <v>526</v>
      </c>
      <c r="BL204" s="36">
        <v>772</v>
      </c>
    </row>
    <row r="205" spans="1:64" ht="12.75">
      <c r="A205" s="5" t="s">
        <v>165</v>
      </c>
      <c r="B205" s="16" t="s">
        <v>208</v>
      </c>
      <c r="C205" s="16" t="s">
        <v>277</v>
      </c>
      <c r="D205" s="127" t="s">
        <v>400</v>
      </c>
      <c r="E205" s="128"/>
      <c r="F205" s="128"/>
      <c r="G205" s="128"/>
      <c r="H205" s="128"/>
      <c r="I205" s="16" t="s">
        <v>463</v>
      </c>
      <c r="J205" s="26">
        <v>0.3</v>
      </c>
      <c r="K205" s="26">
        <v>0</v>
      </c>
      <c r="L205" s="26">
        <f t="shared" si="244"/>
        <v>0</v>
      </c>
      <c r="M205" s="26">
        <f t="shared" si="245"/>
        <v>0</v>
      </c>
      <c r="N205" s="46">
        <f t="shared" si="246"/>
        <v>0</v>
      </c>
      <c r="O205" s="7"/>
      <c r="Z205" s="36">
        <f t="shared" si="247"/>
        <v>0</v>
      </c>
      <c r="AB205" s="36">
        <f t="shared" si="248"/>
        <v>0</v>
      </c>
      <c r="AC205" s="36">
        <f t="shared" si="249"/>
        <v>0</v>
      </c>
      <c r="AD205" s="36">
        <f t="shared" si="250"/>
        <v>0</v>
      </c>
      <c r="AE205" s="36">
        <f t="shared" si="251"/>
        <v>0</v>
      </c>
      <c r="AF205" s="36">
        <f t="shared" si="252"/>
        <v>0</v>
      </c>
      <c r="AG205" s="36">
        <f t="shared" si="253"/>
        <v>0</v>
      </c>
      <c r="AH205" s="36">
        <f t="shared" si="254"/>
        <v>0</v>
      </c>
      <c r="AI205" s="35" t="s">
        <v>208</v>
      </c>
      <c r="AJ205" s="26">
        <f t="shared" si="255"/>
        <v>0</v>
      </c>
      <c r="AK205" s="26">
        <f t="shared" si="256"/>
        <v>0</v>
      </c>
      <c r="AL205" s="26">
        <f t="shared" si="257"/>
        <v>0</v>
      </c>
      <c r="AN205" s="36">
        <v>21</v>
      </c>
      <c r="AO205" s="36">
        <f>K205*0</f>
        <v>0</v>
      </c>
      <c r="AP205" s="36">
        <f>K205*(1-0)</f>
        <v>0</v>
      </c>
      <c r="AQ205" s="37" t="s">
        <v>11</v>
      </c>
      <c r="AV205" s="36">
        <f t="shared" si="258"/>
        <v>0</v>
      </c>
      <c r="AW205" s="36">
        <f t="shared" si="259"/>
        <v>0</v>
      </c>
      <c r="AX205" s="36">
        <f t="shared" si="260"/>
        <v>0</v>
      </c>
      <c r="AY205" s="39" t="s">
        <v>494</v>
      </c>
      <c r="AZ205" s="39" t="s">
        <v>513</v>
      </c>
      <c r="BA205" s="35" t="s">
        <v>521</v>
      </c>
      <c r="BC205" s="36">
        <f t="shared" si="261"/>
        <v>0</v>
      </c>
      <c r="BD205" s="36">
        <f t="shared" si="262"/>
        <v>0</v>
      </c>
      <c r="BE205" s="36">
        <v>0</v>
      </c>
      <c r="BF205" s="36">
        <f>205</f>
        <v>205</v>
      </c>
      <c r="BH205" s="26">
        <f t="shared" si="263"/>
        <v>0</v>
      </c>
      <c r="BI205" s="26">
        <f t="shared" si="264"/>
        <v>0</v>
      </c>
      <c r="BJ205" s="26">
        <f t="shared" si="265"/>
        <v>0</v>
      </c>
      <c r="BK205" s="26" t="s">
        <v>526</v>
      </c>
      <c r="BL205" s="36">
        <v>772</v>
      </c>
    </row>
    <row r="206" spans="1:47" ht="12.75">
      <c r="A206" s="4"/>
      <c r="B206" s="15" t="s">
        <v>208</v>
      </c>
      <c r="C206" s="15" t="s">
        <v>278</v>
      </c>
      <c r="D206" s="129" t="s">
        <v>401</v>
      </c>
      <c r="E206" s="130"/>
      <c r="F206" s="130"/>
      <c r="G206" s="130"/>
      <c r="H206" s="130"/>
      <c r="I206" s="23" t="s">
        <v>6</v>
      </c>
      <c r="J206" s="23" t="s">
        <v>6</v>
      </c>
      <c r="K206" s="23" t="s">
        <v>6</v>
      </c>
      <c r="L206" s="42">
        <f>SUM(L207:L213)</f>
        <v>0</v>
      </c>
      <c r="M206" s="42">
        <f>SUM(M207:M213)</f>
        <v>0</v>
      </c>
      <c r="N206" s="45">
        <f>SUM(N207:N213)</f>
        <v>0</v>
      </c>
      <c r="O206" s="7"/>
      <c r="AI206" s="35" t="s">
        <v>208</v>
      </c>
      <c r="AS206" s="42">
        <f>SUM(AJ207:AJ213)</f>
        <v>0</v>
      </c>
      <c r="AT206" s="42">
        <f>SUM(AK207:AK213)</f>
        <v>0</v>
      </c>
      <c r="AU206" s="42">
        <f>SUM(AL207:AL213)</f>
        <v>0</v>
      </c>
    </row>
    <row r="207" spans="1:64" ht="12.75">
      <c r="A207" s="5" t="s">
        <v>166</v>
      </c>
      <c r="B207" s="16" t="s">
        <v>208</v>
      </c>
      <c r="C207" s="16" t="s">
        <v>279</v>
      </c>
      <c r="D207" s="127" t="s">
        <v>402</v>
      </c>
      <c r="E207" s="128"/>
      <c r="F207" s="128"/>
      <c r="G207" s="128"/>
      <c r="H207" s="128"/>
      <c r="I207" s="16" t="s">
        <v>460</v>
      </c>
      <c r="J207" s="26">
        <v>0.72</v>
      </c>
      <c r="K207" s="26">
        <v>0</v>
      </c>
      <c r="L207" s="26">
        <f aca="true" t="shared" si="266" ref="L207:L213">J207*AO207</f>
        <v>0</v>
      </c>
      <c r="M207" s="26">
        <f aca="true" t="shared" si="267" ref="M207:M213">J207*AP207</f>
        <v>0</v>
      </c>
      <c r="N207" s="46">
        <f aca="true" t="shared" si="268" ref="N207:N213">J207*K207</f>
        <v>0</v>
      </c>
      <c r="O207" s="7"/>
      <c r="Z207" s="36">
        <f aca="true" t="shared" si="269" ref="Z207:Z213">IF(AQ207="5",BJ207,0)</f>
        <v>0</v>
      </c>
      <c r="AB207" s="36">
        <f aca="true" t="shared" si="270" ref="AB207:AB213">IF(AQ207="1",BH207,0)</f>
        <v>0</v>
      </c>
      <c r="AC207" s="36">
        <f aca="true" t="shared" si="271" ref="AC207:AC213">IF(AQ207="1",BI207,0)</f>
        <v>0</v>
      </c>
      <c r="AD207" s="36">
        <f aca="true" t="shared" si="272" ref="AD207:AD213">IF(AQ207="7",BH207,0)</f>
        <v>0</v>
      </c>
      <c r="AE207" s="36">
        <f aca="true" t="shared" si="273" ref="AE207:AE213">IF(AQ207="7",BI207,0)</f>
        <v>0</v>
      </c>
      <c r="AF207" s="36">
        <f aca="true" t="shared" si="274" ref="AF207:AF213">IF(AQ207="2",BH207,0)</f>
        <v>0</v>
      </c>
      <c r="AG207" s="36">
        <f aca="true" t="shared" si="275" ref="AG207:AG213">IF(AQ207="2",BI207,0)</f>
        <v>0</v>
      </c>
      <c r="AH207" s="36">
        <f aca="true" t="shared" si="276" ref="AH207:AH213">IF(AQ207="0",BJ207,0)</f>
        <v>0</v>
      </c>
      <c r="AI207" s="35" t="s">
        <v>208</v>
      </c>
      <c r="AJ207" s="26">
        <f aca="true" t="shared" si="277" ref="AJ207:AJ213">IF(AN207=0,N207,0)</f>
        <v>0</v>
      </c>
      <c r="AK207" s="26">
        <f aca="true" t="shared" si="278" ref="AK207:AK213">IF(AN207=15,N207,0)</f>
        <v>0</v>
      </c>
      <c r="AL207" s="26">
        <f aca="true" t="shared" si="279" ref="AL207:AL213">IF(AN207=21,N207,0)</f>
        <v>0</v>
      </c>
      <c r="AN207" s="36">
        <v>21</v>
      </c>
      <c r="AO207" s="36">
        <f>K207*0</f>
        <v>0</v>
      </c>
      <c r="AP207" s="36">
        <f>K207*(1-0)</f>
        <v>0</v>
      </c>
      <c r="AQ207" s="37" t="s">
        <v>13</v>
      </c>
      <c r="AV207" s="36">
        <f aca="true" t="shared" si="280" ref="AV207:AV213">AW207+AX207</f>
        <v>0</v>
      </c>
      <c r="AW207" s="36">
        <f aca="true" t="shared" si="281" ref="AW207:AW213">J207*AO207</f>
        <v>0</v>
      </c>
      <c r="AX207" s="36">
        <f aca="true" t="shared" si="282" ref="AX207:AX213">J207*AP207</f>
        <v>0</v>
      </c>
      <c r="AY207" s="39" t="s">
        <v>495</v>
      </c>
      <c r="AZ207" s="39" t="s">
        <v>516</v>
      </c>
      <c r="BA207" s="35" t="s">
        <v>521</v>
      </c>
      <c r="BC207" s="36">
        <f aca="true" t="shared" si="283" ref="BC207:BC213">AW207+AX207</f>
        <v>0</v>
      </c>
      <c r="BD207" s="36">
        <f aca="true" t="shared" si="284" ref="BD207:BD213">K207/(100-BE207)*100</f>
        <v>0</v>
      </c>
      <c r="BE207" s="36">
        <v>0</v>
      </c>
      <c r="BF207" s="36">
        <f>207</f>
        <v>207</v>
      </c>
      <c r="BH207" s="26">
        <f aca="true" t="shared" si="285" ref="BH207:BH213">J207*AO207</f>
        <v>0</v>
      </c>
      <c r="BI207" s="26">
        <f aca="true" t="shared" si="286" ref="BI207:BI213">J207*AP207</f>
        <v>0</v>
      </c>
      <c r="BJ207" s="26">
        <f aca="true" t="shared" si="287" ref="BJ207:BJ213">J207*K207</f>
        <v>0</v>
      </c>
      <c r="BK207" s="26" t="s">
        <v>526</v>
      </c>
      <c r="BL207" s="36">
        <v>735</v>
      </c>
    </row>
    <row r="208" spans="1:64" ht="12.75">
      <c r="A208" s="5" t="s">
        <v>167</v>
      </c>
      <c r="B208" s="16" t="s">
        <v>208</v>
      </c>
      <c r="C208" s="16" t="s">
        <v>280</v>
      </c>
      <c r="D208" s="127" t="s">
        <v>403</v>
      </c>
      <c r="E208" s="128"/>
      <c r="F208" s="128"/>
      <c r="G208" s="128"/>
      <c r="H208" s="128"/>
      <c r="I208" s="16" t="s">
        <v>460</v>
      </c>
      <c r="J208" s="26">
        <v>0.72</v>
      </c>
      <c r="K208" s="26">
        <v>0</v>
      </c>
      <c r="L208" s="26">
        <f t="shared" si="266"/>
        <v>0</v>
      </c>
      <c r="M208" s="26">
        <f t="shared" si="267"/>
        <v>0</v>
      </c>
      <c r="N208" s="46">
        <f t="shared" si="268"/>
        <v>0</v>
      </c>
      <c r="O208" s="7"/>
      <c r="Z208" s="36">
        <f t="shared" si="269"/>
        <v>0</v>
      </c>
      <c r="AB208" s="36">
        <f t="shared" si="270"/>
        <v>0</v>
      </c>
      <c r="AC208" s="36">
        <f t="shared" si="271"/>
        <v>0</v>
      </c>
      <c r="AD208" s="36">
        <f t="shared" si="272"/>
        <v>0</v>
      </c>
      <c r="AE208" s="36">
        <f t="shared" si="273"/>
        <v>0</v>
      </c>
      <c r="AF208" s="36">
        <f t="shared" si="274"/>
        <v>0</v>
      </c>
      <c r="AG208" s="36">
        <f t="shared" si="275"/>
        <v>0</v>
      </c>
      <c r="AH208" s="36">
        <f t="shared" si="276"/>
        <v>0</v>
      </c>
      <c r="AI208" s="35" t="s">
        <v>208</v>
      </c>
      <c r="AJ208" s="26">
        <f t="shared" si="277"/>
        <v>0</v>
      </c>
      <c r="AK208" s="26">
        <f t="shared" si="278"/>
        <v>0</v>
      </c>
      <c r="AL208" s="26">
        <f t="shared" si="279"/>
        <v>0</v>
      </c>
      <c r="AN208" s="36">
        <v>21</v>
      </c>
      <c r="AO208" s="36">
        <f>K208*0.423877551020408</f>
        <v>0</v>
      </c>
      <c r="AP208" s="36">
        <f>K208*(1-0.423877551020408)</f>
        <v>0</v>
      </c>
      <c r="AQ208" s="37" t="s">
        <v>13</v>
      </c>
      <c r="AV208" s="36">
        <f t="shared" si="280"/>
        <v>0</v>
      </c>
      <c r="AW208" s="36">
        <f t="shared" si="281"/>
        <v>0</v>
      </c>
      <c r="AX208" s="36">
        <f t="shared" si="282"/>
        <v>0</v>
      </c>
      <c r="AY208" s="39" t="s">
        <v>495</v>
      </c>
      <c r="AZ208" s="39" t="s">
        <v>516</v>
      </c>
      <c r="BA208" s="35" t="s">
        <v>521</v>
      </c>
      <c r="BC208" s="36">
        <f t="shared" si="283"/>
        <v>0</v>
      </c>
      <c r="BD208" s="36">
        <f t="shared" si="284"/>
        <v>0</v>
      </c>
      <c r="BE208" s="36">
        <v>0</v>
      </c>
      <c r="BF208" s="36">
        <f>208</f>
        <v>208</v>
      </c>
      <c r="BH208" s="26">
        <f t="shared" si="285"/>
        <v>0</v>
      </c>
      <c r="BI208" s="26">
        <f t="shared" si="286"/>
        <v>0</v>
      </c>
      <c r="BJ208" s="26">
        <f t="shared" si="287"/>
        <v>0</v>
      </c>
      <c r="BK208" s="26" t="s">
        <v>526</v>
      </c>
      <c r="BL208" s="36">
        <v>735</v>
      </c>
    </row>
    <row r="209" spans="1:64" ht="12.75">
      <c r="A209" s="5" t="s">
        <v>168</v>
      </c>
      <c r="B209" s="16" t="s">
        <v>208</v>
      </c>
      <c r="C209" s="16" t="s">
        <v>281</v>
      </c>
      <c r="D209" s="127" t="s">
        <v>404</v>
      </c>
      <c r="E209" s="128"/>
      <c r="F209" s="128"/>
      <c r="G209" s="128"/>
      <c r="H209" s="128"/>
      <c r="I209" s="16" t="s">
        <v>460</v>
      </c>
      <c r="J209" s="26">
        <v>0.72</v>
      </c>
      <c r="K209" s="26">
        <v>0</v>
      </c>
      <c r="L209" s="26">
        <f t="shared" si="266"/>
        <v>0</v>
      </c>
      <c r="M209" s="26">
        <f t="shared" si="267"/>
        <v>0</v>
      </c>
      <c r="N209" s="46">
        <f t="shared" si="268"/>
        <v>0</v>
      </c>
      <c r="O209" s="7"/>
      <c r="Z209" s="36">
        <f t="shared" si="269"/>
        <v>0</v>
      </c>
      <c r="AB209" s="36">
        <f t="shared" si="270"/>
        <v>0</v>
      </c>
      <c r="AC209" s="36">
        <f t="shared" si="271"/>
        <v>0</v>
      </c>
      <c r="AD209" s="36">
        <f t="shared" si="272"/>
        <v>0</v>
      </c>
      <c r="AE209" s="36">
        <f t="shared" si="273"/>
        <v>0</v>
      </c>
      <c r="AF209" s="36">
        <f t="shared" si="274"/>
        <v>0</v>
      </c>
      <c r="AG209" s="36">
        <f t="shared" si="275"/>
        <v>0</v>
      </c>
      <c r="AH209" s="36">
        <f t="shared" si="276"/>
        <v>0</v>
      </c>
      <c r="AI209" s="35" t="s">
        <v>208</v>
      </c>
      <c r="AJ209" s="26">
        <f t="shared" si="277"/>
        <v>0</v>
      </c>
      <c r="AK209" s="26">
        <f t="shared" si="278"/>
        <v>0</v>
      </c>
      <c r="AL209" s="26">
        <f t="shared" si="279"/>
        <v>0</v>
      </c>
      <c r="AN209" s="36">
        <v>21</v>
      </c>
      <c r="AO209" s="36">
        <f>K209*0</f>
        <v>0</v>
      </c>
      <c r="AP209" s="36">
        <f>K209*(1-0)</f>
        <v>0</v>
      </c>
      <c r="AQ209" s="37" t="s">
        <v>13</v>
      </c>
      <c r="AV209" s="36">
        <f t="shared" si="280"/>
        <v>0</v>
      </c>
      <c r="AW209" s="36">
        <f t="shared" si="281"/>
        <v>0</v>
      </c>
      <c r="AX209" s="36">
        <f t="shared" si="282"/>
        <v>0</v>
      </c>
      <c r="AY209" s="39" t="s">
        <v>495</v>
      </c>
      <c r="AZ209" s="39" t="s">
        <v>516</v>
      </c>
      <c r="BA209" s="35" t="s">
        <v>521</v>
      </c>
      <c r="BC209" s="36">
        <f t="shared" si="283"/>
        <v>0</v>
      </c>
      <c r="BD209" s="36">
        <f t="shared" si="284"/>
        <v>0</v>
      </c>
      <c r="BE209" s="36">
        <v>0</v>
      </c>
      <c r="BF209" s="36">
        <f>209</f>
        <v>209</v>
      </c>
      <c r="BH209" s="26">
        <f t="shared" si="285"/>
        <v>0</v>
      </c>
      <c r="BI209" s="26">
        <f t="shared" si="286"/>
        <v>0</v>
      </c>
      <c r="BJ209" s="26">
        <f t="shared" si="287"/>
        <v>0</v>
      </c>
      <c r="BK209" s="26" t="s">
        <v>526</v>
      </c>
      <c r="BL209" s="36">
        <v>735</v>
      </c>
    </row>
    <row r="210" spans="1:64" ht="12.75">
      <c r="A210" s="5" t="s">
        <v>169</v>
      </c>
      <c r="B210" s="16" t="s">
        <v>208</v>
      </c>
      <c r="C210" s="16" t="s">
        <v>282</v>
      </c>
      <c r="D210" s="127" t="s">
        <v>405</v>
      </c>
      <c r="E210" s="128"/>
      <c r="F210" s="128"/>
      <c r="G210" s="128"/>
      <c r="H210" s="128"/>
      <c r="I210" s="16" t="s">
        <v>460</v>
      </c>
      <c r="J210" s="26">
        <v>0.72</v>
      </c>
      <c r="K210" s="26">
        <v>0</v>
      </c>
      <c r="L210" s="26">
        <f t="shared" si="266"/>
        <v>0</v>
      </c>
      <c r="M210" s="26">
        <f t="shared" si="267"/>
        <v>0</v>
      </c>
      <c r="N210" s="46">
        <f t="shared" si="268"/>
        <v>0</v>
      </c>
      <c r="O210" s="7"/>
      <c r="Z210" s="36">
        <f t="shared" si="269"/>
        <v>0</v>
      </c>
      <c r="AB210" s="36">
        <f t="shared" si="270"/>
        <v>0</v>
      </c>
      <c r="AC210" s="36">
        <f t="shared" si="271"/>
        <v>0</v>
      </c>
      <c r="AD210" s="36">
        <f t="shared" si="272"/>
        <v>0</v>
      </c>
      <c r="AE210" s="36">
        <f t="shared" si="273"/>
        <v>0</v>
      </c>
      <c r="AF210" s="36">
        <f t="shared" si="274"/>
        <v>0</v>
      </c>
      <c r="AG210" s="36">
        <f t="shared" si="275"/>
        <v>0</v>
      </c>
      <c r="AH210" s="36">
        <f t="shared" si="276"/>
        <v>0</v>
      </c>
      <c r="AI210" s="35" t="s">
        <v>208</v>
      </c>
      <c r="AJ210" s="26">
        <f t="shared" si="277"/>
        <v>0</v>
      </c>
      <c r="AK210" s="26">
        <f t="shared" si="278"/>
        <v>0</v>
      </c>
      <c r="AL210" s="26">
        <f t="shared" si="279"/>
        <v>0</v>
      </c>
      <c r="AN210" s="36">
        <v>21</v>
      </c>
      <c r="AO210" s="36">
        <f>K210*0</f>
        <v>0</v>
      </c>
      <c r="AP210" s="36">
        <f>K210*(1-0)</f>
        <v>0</v>
      </c>
      <c r="AQ210" s="37" t="s">
        <v>13</v>
      </c>
      <c r="AV210" s="36">
        <f t="shared" si="280"/>
        <v>0</v>
      </c>
      <c r="AW210" s="36">
        <f t="shared" si="281"/>
        <v>0</v>
      </c>
      <c r="AX210" s="36">
        <f t="shared" si="282"/>
        <v>0</v>
      </c>
      <c r="AY210" s="39" t="s">
        <v>495</v>
      </c>
      <c r="AZ210" s="39" t="s">
        <v>516</v>
      </c>
      <c r="BA210" s="35" t="s">
        <v>521</v>
      </c>
      <c r="BC210" s="36">
        <f t="shared" si="283"/>
        <v>0</v>
      </c>
      <c r="BD210" s="36">
        <f t="shared" si="284"/>
        <v>0</v>
      </c>
      <c r="BE210" s="36">
        <v>0</v>
      </c>
      <c r="BF210" s="36">
        <f>210</f>
        <v>210</v>
      </c>
      <c r="BH210" s="26">
        <f t="shared" si="285"/>
        <v>0</v>
      </c>
      <c r="BI210" s="26">
        <f t="shared" si="286"/>
        <v>0</v>
      </c>
      <c r="BJ210" s="26">
        <f t="shared" si="287"/>
        <v>0</v>
      </c>
      <c r="BK210" s="26" t="s">
        <v>526</v>
      </c>
      <c r="BL210" s="36">
        <v>735</v>
      </c>
    </row>
    <row r="211" spans="1:64" ht="12.75">
      <c r="A211" s="5" t="s">
        <v>170</v>
      </c>
      <c r="B211" s="16" t="s">
        <v>208</v>
      </c>
      <c r="C211" s="16" t="s">
        <v>283</v>
      </c>
      <c r="D211" s="127" t="s">
        <v>406</v>
      </c>
      <c r="E211" s="128"/>
      <c r="F211" s="128"/>
      <c r="G211" s="128"/>
      <c r="H211" s="128"/>
      <c r="I211" s="16" t="s">
        <v>460</v>
      </c>
      <c r="J211" s="26">
        <v>0.72</v>
      </c>
      <c r="K211" s="26">
        <v>0</v>
      </c>
      <c r="L211" s="26">
        <f t="shared" si="266"/>
        <v>0</v>
      </c>
      <c r="M211" s="26">
        <f t="shared" si="267"/>
        <v>0</v>
      </c>
      <c r="N211" s="46">
        <f t="shared" si="268"/>
        <v>0</v>
      </c>
      <c r="O211" s="7"/>
      <c r="Z211" s="36">
        <f t="shared" si="269"/>
        <v>0</v>
      </c>
      <c r="AB211" s="36">
        <f t="shared" si="270"/>
        <v>0</v>
      </c>
      <c r="AC211" s="36">
        <f t="shared" si="271"/>
        <v>0</v>
      </c>
      <c r="AD211" s="36">
        <f t="shared" si="272"/>
        <v>0</v>
      </c>
      <c r="AE211" s="36">
        <f t="shared" si="273"/>
        <v>0</v>
      </c>
      <c r="AF211" s="36">
        <f t="shared" si="274"/>
        <v>0</v>
      </c>
      <c r="AG211" s="36">
        <f t="shared" si="275"/>
        <v>0</v>
      </c>
      <c r="AH211" s="36">
        <f t="shared" si="276"/>
        <v>0</v>
      </c>
      <c r="AI211" s="35" t="s">
        <v>208</v>
      </c>
      <c r="AJ211" s="26">
        <f t="shared" si="277"/>
        <v>0</v>
      </c>
      <c r="AK211" s="26">
        <f t="shared" si="278"/>
        <v>0</v>
      </c>
      <c r="AL211" s="26">
        <f t="shared" si="279"/>
        <v>0</v>
      </c>
      <c r="AN211" s="36">
        <v>21</v>
      </c>
      <c r="AO211" s="36">
        <f>K211*0</f>
        <v>0</v>
      </c>
      <c r="AP211" s="36">
        <f>K211*(1-0)</f>
        <v>0</v>
      </c>
      <c r="AQ211" s="37" t="s">
        <v>13</v>
      </c>
      <c r="AV211" s="36">
        <f t="shared" si="280"/>
        <v>0</v>
      </c>
      <c r="AW211" s="36">
        <f t="shared" si="281"/>
        <v>0</v>
      </c>
      <c r="AX211" s="36">
        <f t="shared" si="282"/>
        <v>0</v>
      </c>
      <c r="AY211" s="39" t="s">
        <v>495</v>
      </c>
      <c r="AZ211" s="39" t="s">
        <v>516</v>
      </c>
      <c r="BA211" s="35" t="s">
        <v>521</v>
      </c>
      <c r="BC211" s="36">
        <f t="shared" si="283"/>
        <v>0</v>
      </c>
      <c r="BD211" s="36">
        <f t="shared" si="284"/>
        <v>0</v>
      </c>
      <c r="BE211" s="36">
        <v>0</v>
      </c>
      <c r="BF211" s="36">
        <f>211</f>
        <v>211</v>
      </c>
      <c r="BH211" s="26">
        <f t="shared" si="285"/>
        <v>0</v>
      </c>
      <c r="BI211" s="26">
        <f t="shared" si="286"/>
        <v>0</v>
      </c>
      <c r="BJ211" s="26">
        <f t="shared" si="287"/>
        <v>0</v>
      </c>
      <c r="BK211" s="26" t="s">
        <v>526</v>
      </c>
      <c r="BL211" s="36">
        <v>735</v>
      </c>
    </row>
    <row r="212" spans="1:64" ht="12.75">
      <c r="A212" s="5" t="s">
        <v>171</v>
      </c>
      <c r="B212" s="16" t="s">
        <v>208</v>
      </c>
      <c r="C212" s="16" t="s">
        <v>242</v>
      </c>
      <c r="D212" s="127" t="s">
        <v>365</v>
      </c>
      <c r="E212" s="128"/>
      <c r="F212" s="128"/>
      <c r="G212" s="128"/>
      <c r="H212" s="128"/>
      <c r="I212" s="16" t="s">
        <v>465</v>
      </c>
      <c r="J212" s="26">
        <v>1</v>
      </c>
      <c r="K212" s="26">
        <v>0</v>
      </c>
      <c r="L212" s="26">
        <f t="shared" si="266"/>
        <v>0</v>
      </c>
      <c r="M212" s="26">
        <f t="shared" si="267"/>
        <v>0</v>
      </c>
      <c r="N212" s="46">
        <f t="shared" si="268"/>
        <v>0</v>
      </c>
      <c r="O212" s="7"/>
      <c r="Z212" s="36">
        <f t="shared" si="269"/>
        <v>0</v>
      </c>
      <c r="AB212" s="36">
        <f t="shared" si="270"/>
        <v>0</v>
      </c>
      <c r="AC212" s="36">
        <f t="shared" si="271"/>
        <v>0</v>
      </c>
      <c r="AD212" s="36">
        <f t="shared" si="272"/>
        <v>0</v>
      </c>
      <c r="AE212" s="36">
        <f t="shared" si="273"/>
        <v>0</v>
      </c>
      <c r="AF212" s="36">
        <f t="shared" si="274"/>
        <v>0</v>
      </c>
      <c r="AG212" s="36">
        <f t="shared" si="275"/>
        <v>0</v>
      </c>
      <c r="AH212" s="36">
        <f t="shared" si="276"/>
        <v>0</v>
      </c>
      <c r="AI212" s="35" t="s">
        <v>208</v>
      </c>
      <c r="AJ212" s="26">
        <f t="shared" si="277"/>
        <v>0</v>
      </c>
      <c r="AK212" s="26">
        <f t="shared" si="278"/>
        <v>0</v>
      </c>
      <c r="AL212" s="26">
        <f t="shared" si="279"/>
        <v>0</v>
      </c>
      <c r="AN212" s="36">
        <v>21</v>
      </c>
      <c r="AO212" s="36">
        <f>K212*0</f>
        <v>0</v>
      </c>
      <c r="AP212" s="36">
        <f>K212*(1-0)</f>
        <v>0</v>
      </c>
      <c r="AQ212" s="37" t="s">
        <v>13</v>
      </c>
      <c r="AV212" s="36">
        <f t="shared" si="280"/>
        <v>0</v>
      </c>
      <c r="AW212" s="36">
        <f t="shared" si="281"/>
        <v>0</v>
      </c>
      <c r="AX212" s="36">
        <f t="shared" si="282"/>
        <v>0</v>
      </c>
      <c r="AY212" s="39" t="s">
        <v>495</v>
      </c>
      <c r="AZ212" s="39" t="s">
        <v>516</v>
      </c>
      <c r="BA212" s="35" t="s">
        <v>521</v>
      </c>
      <c r="BC212" s="36">
        <f t="shared" si="283"/>
        <v>0</v>
      </c>
      <c r="BD212" s="36">
        <f t="shared" si="284"/>
        <v>0</v>
      </c>
      <c r="BE212" s="36">
        <v>0</v>
      </c>
      <c r="BF212" s="36">
        <f>212</f>
        <v>212</v>
      </c>
      <c r="BH212" s="26">
        <f t="shared" si="285"/>
        <v>0</v>
      </c>
      <c r="BI212" s="26">
        <f t="shared" si="286"/>
        <v>0</v>
      </c>
      <c r="BJ212" s="26">
        <f t="shared" si="287"/>
        <v>0</v>
      </c>
      <c r="BK212" s="26" t="s">
        <v>526</v>
      </c>
      <c r="BL212" s="36">
        <v>735</v>
      </c>
    </row>
    <row r="213" spans="1:64" ht="12.75">
      <c r="A213" s="5" t="s">
        <v>172</v>
      </c>
      <c r="B213" s="16" t="s">
        <v>208</v>
      </c>
      <c r="C213" s="16" t="s">
        <v>284</v>
      </c>
      <c r="D213" s="127" t="s">
        <v>407</v>
      </c>
      <c r="E213" s="128"/>
      <c r="F213" s="128"/>
      <c r="G213" s="128"/>
      <c r="H213" s="128"/>
      <c r="I213" s="16" t="s">
        <v>463</v>
      </c>
      <c r="J213" s="26">
        <v>0.5</v>
      </c>
      <c r="K213" s="26">
        <v>0</v>
      </c>
      <c r="L213" s="26">
        <f t="shared" si="266"/>
        <v>0</v>
      </c>
      <c r="M213" s="26">
        <f t="shared" si="267"/>
        <v>0</v>
      </c>
      <c r="N213" s="46">
        <f t="shared" si="268"/>
        <v>0</v>
      </c>
      <c r="O213" s="7"/>
      <c r="Z213" s="36">
        <f t="shared" si="269"/>
        <v>0</v>
      </c>
      <c r="AB213" s="36">
        <f t="shared" si="270"/>
        <v>0</v>
      </c>
      <c r="AC213" s="36">
        <f t="shared" si="271"/>
        <v>0</v>
      </c>
      <c r="AD213" s="36">
        <f t="shared" si="272"/>
        <v>0</v>
      </c>
      <c r="AE213" s="36">
        <f t="shared" si="273"/>
        <v>0</v>
      </c>
      <c r="AF213" s="36">
        <f t="shared" si="274"/>
        <v>0</v>
      </c>
      <c r="AG213" s="36">
        <f t="shared" si="275"/>
        <v>0</v>
      </c>
      <c r="AH213" s="36">
        <f t="shared" si="276"/>
        <v>0</v>
      </c>
      <c r="AI213" s="35" t="s">
        <v>208</v>
      </c>
      <c r="AJ213" s="26">
        <f t="shared" si="277"/>
        <v>0</v>
      </c>
      <c r="AK213" s="26">
        <f t="shared" si="278"/>
        <v>0</v>
      </c>
      <c r="AL213" s="26">
        <f t="shared" si="279"/>
        <v>0</v>
      </c>
      <c r="AN213" s="36">
        <v>21</v>
      </c>
      <c r="AO213" s="36">
        <f>K213*0</f>
        <v>0</v>
      </c>
      <c r="AP213" s="36">
        <f>K213*(1-0)</f>
        <v>0</v>
      </c>
      <c r="AQ213" s="37" t="s">
        <v>11</v>
      </c>
      <c r="AV213" s="36">
        <f t="shared" si="280"/>
        <v>0</v>
      </c>
      <c r="AW213" s="36">
        <f t="shared" si="281"/>
        <v>0</v>
      </c>
      <c r="AX213" s="36">
        <f t="shared" si="282"/>
        <v>0</v>
      </c>
      <c r="AY213" s="39" t="s">
        <v>495</v>
      </c>
      <c r="AZ213" s="39" t="s">
        <v>516</v>
      </c>
      <c r="BA213" s="35" t="s">
        <v>521</v>
      </c>
      <c r="BC213" s="36">
        <f t="shared" si="283"/>
        <v>0</v>
      </c>
      <c r="BD213" s="36">
        <f t="shared" si="284"/>
        <v>0</v>
      </c>
      <c r="BE213" s="36">
        <v>0</v>
      </c>
      <c r="BF213" s="36">
        <f>213</f>
        <v>213</v>
      </c>
      <c r="BH213" s="26">
        <f t="shared" si="285"/>
        <v>0</v>
      </c>
      <c r="BI213" s="26">
        <f t="shared" si="286"/>
        <v>0</v>
      </c>
      <c r="BJ213" s="26">
        <f t="shared" si="287"/>
        <v>0</v>
      </c>
      <c r="BK213" s="26" t="s">
        <v>526</v>
      </c>
      <c r="BL213" s="36">
        <v>735</v>
      </c>
    </row>
    <row r="214" spans="1:47" ht="12.75">
      <c r="A214" s="4"/>
      <c r="B214" s="15" t="s">
        <v>208</v>
      </c>
      <c r="C214" s="15" t="s">
        <v>27</v>
      </c>
      <c r="D214" s="129" t="s">
        <v>408</v>
      </c>
      <c r="E214" s="130"/>
      <c r="F214" s="130"/>
      <c r="G214" s="130"/>
      <c r="H214" s="130"/>
      <c r="I214" s="23" t="s">
        <v>6</v>
      </c>
      <c r="J214" s="23" t="s">
        <v>6</v>
      </c>
      <c r="K214" s="23" t="s">
        <v>6</v>
      </c>
      <c r="L214" s="42">
        <f>SUM(L215:L224)</f>
        <v>0</v>
      </c>
      <c r="M214" s="42">
        <f>SUM(M215:M224)</f>
        <v>0</v>
      </c>
      <c r="N214" s="45">
        <f>SUM(N215:N224)</f>
        <v>0</v>
      </c>
      <c r="O214" s="7"/>
      <c r="AI214" s="35" t="s">
        <v>208</v>
      </c>
      <c r="AS214" s="42">
        <f>SUM(AJ215:AJ224)</f>
        <v>0</v>
      </c>
      <c r="AT214" s="42">
        <f>SUM(AK215:AK224)</f>
        <v>0</v>
      </c>
      <c r="AU214" s="42">
        <f>SUM(AL215:AL224)</f>
        <v>0</v>
      </c>
    </row>
    <row r="215" spans="1:64" ht="12.75">
      <c r="A215" s="5" t="s">
        <v>173</v>
      </c>
      <c r="B215" s="16" t="s">
        <v>208</v>
      </c>
      <c r="C215" s="16" t="s">
        <v>285</v>
      </c>
      <c r="D215" s="127" t="s">
        <v>409</v>
      </c>
      <c r="E215" s="128"/>
      <c r="F215" s="128"/>
      <c r="G215" s="128"/>
      <c r="H215" s="128"/>
      <c r="I215" s="16" t="s">
        <v>462</v>
      </c>
      <c r="J215" s="26">
        <v>1</v>
      </c>
      <c r="K215" s="26">
        <v>0</v>
      </c>
      <c r="L215" s="26">
        <f aca="true" t="shared" si="288" ref="L215:L222">J215*AO215</f>
        <v>0</v>
      </c>
      <c r="M215" s="26">
        <f aca="true" t="shared" si="289" ref="M215:M222">J215*AP215</f>
        <v>0</v>
      </c>
      <c r="N215" s="46">
        <f aca="true" t="shared" si="290" ref="N215:N222">J215*K215</f>
        <v>0</v>
      </c>
      <c r="O215" s="7"/>
      <c r="Z215" s="36">
        <f aca="true" t="shared" si="291" ref="Z215:Z222">IF(AQ215="5",BJ215,0)</f>
        <v>0</v>
      </c>
      <c r="AB215" s="36">
        <f aca="true" t="shared" si="292" ref="AB215:AB222">IF(AQ215="1",BH215,0)</f>
        <v>0</v>
      </c>
      <c r="AC215" s="36">
        <f aca="true" t="shared" si="293" ref="AC215:AC222">IF(AQ215="1",BI215,0)</f>
        <v>0</v>
      </c>
      <c r="AD215" s="36">
        <f aca="true" t="shared" si="294" ref="AD215:AD222">IF(AQ215="7",BH215,0)</f>
        <v>0</v>
      </c>
      <c r="AE215" s="36">
        <f aca="true" t="shared" si="295" ref="AE215:AE222">IF(AQ215="7",BI215,0)</f>
        <v>0</v>
      </c>
      <c r="AF215" s="36">
        <f aca="true" t="shared" si="296" ref="AF215:AF222">IF(AQ215="2",BH215,0)</f>
        <v>0</v>
      </c>
      <c r="AG215" s="36">
        <f aca="true" t="shared" si="297" ref="AG215:AG222">IF(AQ215="2",BI215,0)</f>
        <v>0</v>
      </c>
      <c r="AH215" s="36">
        <f aca="true" t="shared" si="298" ref="AH215:AH222">IF(AQ215="0",BJ215,0)</f>
        <v>0</v>
      </c>
      <c r="AI215" s="35" t="s">
        <v>208</v>
      </c>
      <c r="AJ215" s="26">
        <f aca="true" t="shared" si="299" ref="AJ215:AJ222">IF(AN215=0,N215,0)</f>
        <v>0</v>
      </c>
      <c r="AK215" s="26">
        <f aca="true" t="shared" si="300" ref="AK215:AK222">IF(AN215=15,N215,0)</f>
        <v>0</v>
      </c>
      <c r="AL215" s="26">
        <f aca="true" t="shared" si="301" ref="AL215:AL222">IF(AN215=21,N215,0)</f>
        <v>0</v>
      </c>
      <c r="AN215" s="36">
        <v>21</v>
      </c>
      <c r="AO215" s="36">
        <f>K215*0.512648083623693</f>
        <v>0</v>
      </c>
      <c r="AP215" s="36">
        <f>K215*(1-0.512648083623693)</f>
        <v>0</v>
      </c>
      <c r="AQ215" s="37" t="s">
        <v>8</v>
      </c>
      <c r="AV215" s="36">
        <f aca="true" t="shared" si="302" ref="AV215:AV222">AW215+AX215</f>
        <v>0</v>
      </c>
      <c r="AW215" s="36">
        <f aca="true" t="shared" si="303" ref="AW215:AW222">J215*AO215</f>
        <v>0</v>
      </c>
      <c r="AX215" s="36">
        <f aca="true" t="shared" si="304" ref="AX215:AX222">J215*AP215</f>
        <v>0</v>
      </c>
      <c r="AY215" s="39" t="s">
        <v>496</v>
      </c>
      <c r="AZ215" s="39" t="s">
        <v>517</v>
      </c>
      <c r="BA215" s="35" t="s">
        <v>521</v>
      </c>
      <c r="BC215" s="36">
        <f aca="true" t="shared" si="305" ref="BC215:BC222">AW215+AX215</f>
        <v>0</v>
      </c>
      <c r="BD215" s="36">
        <f aca="true" t="shared" si="306" ref="BD215:BD222">K215/(100-BE215)*100</f>
        <v>0</v>
      </c>
      <c r="BE215" s="36">
        <v>0</v>
      </c>
      <c r="BF215" s="36">
        <f>215</f>
        <v>215</v>
      </c>
      <c r="BH215" s="26">
        <f aca="true" t="shared" si="307" ref="BH215:BH222">J215*AO215</f>
        <v>0</v>
      </c>
      <c r="BI215" s="26">
        <f aca="true" t="shared" si="308" ref="BI215:BI222">J215*AP215</f>
        <v>0</v>
      </c>
      <c r="BJ215" s="26">
        <f aca="true" t="shared" si="309" ref="BJ215:BJ222">J215*K215</f>
        <v>0</v>
      </c>
      <c r="BK215" s="26" t="s">
        <v>526</v>
      </c>
      <c r="BL215" s="36">
        <v>21</v>
      </c>
    </row>
    <row r="216" spans="1:64" ht="12.75">
      <c r="A216" s="5" t="s">
        <v>174</v>
      </c>
      <c r="B216" s="16" t="s">
        <v>208</v>
      </c>
      <c r="C216" s="16" t="s">
        <v>286</v>
      </c>
      <c r="D216" s="127" t="s">
        <v>410</v>
      </c>
      <c r="E216" s="128"/>
      <c r="F216" s="128"/>
      <c r="G216" s="128"/>
      <c r="H216" s="128"/>
      <c r="I216" s="16" t="s">
        <v>462</v>
      </c>
      <c r="J216" s="26">
        <v>1</v>
      </c>
      <c r="K216" s="26">
        <v>0</v>
      </c>
      <c r="L216" s="26">
        <f t="shared" si="288"/>
        <v>0</v>
      </c>
      <c r="M216" s="26">
        <f t="shared" si="289"/>
        <v>0</v>
      </c>
      <c r="N216" s="46">
        <f t="shared" si="290"/>
        <v>0</v>
      </c>
      <c r="O216" s="7"/>
      <c r="Z216" s="36">
        <f t="shared" si="291"/>
        <v>0</v>
      </c>
      <c r="AB216" s="36">
        <f t="shared" si="292"/>
        <v>0</v>
      </c>
      <c r="AC216" s="36">
        <f t="shared" si="293"/>
        <v>0</v>
      </c>
      <c r="AD216" s="36">
        <f t="shared" si="294"/>
        <v>0</v>
      </c>
      <c r="AE216" s="36">
        <f t="shared" si="295"/>
        <v>0</v>
      </c>
      <c r="AF216" s="36">
        <f t="shared" si="296"/>
        <v>0</v>
      </c>
      <c r="AG216" s="36">
        <f t="shared" si="297"/>
        <v>0</v>
      </c>
      <c r="AH216" s="36">
        <f t="shared" si="298"/>
        <v>0</v>
      </c>
      <c r="AI216" s="35" t="s">
        <v>208</v>
      </c>
      <c r="AJ216" s="26">
        <f t="shared" si="299"/>
        <v>0</v>
      </c>
      <c r="AK216" s="26">
        <f t="shared" si="300"/>
        <v>0</v>
      </c>
      <c r="AL216" s="26">
        <f t="shared" si="301"/>
        <v>0</v>
      </c>
      <c r="AN216" s="36">
        <v>21</v>
      </c>
      <c r="AO216" s="36">
        <f>K216*0</f>
        <v>0</v>
      </c>
      <c r="AP216" s="36">
        <f>K216*(1-0)</f>
        <v>0</v>
      </c>
      <c r="AQ216" s="37" t="s">
        <v>8</v>
      </c>
      <c r="AV216" s="36">
        <f t="shared" si="302"/>
        <v>0</v>
      </c>
      <c r="AW216" s="36">
        <f t="shared" si="303"/>
        <v>0</v>
      </c>
      <c r="AX216" s="36">
        <f t="shared" si="304"/>
        <v>0</v>
      </c>
      <c r="AY216" s="39" t="s">
        <v>496</v>
      </c>
      <c r="AZ216" s="39" t="s">
        <v>517</v>
      </c>
      <c r="BA216" s="35" t="s">
        <v>521</v>
      </c>
      <c r="BC216" s="36">
        <f t="shared" si="305"/>
        <v>0</v>
      </c>
      <c r="BD216" s="36">
        <f t="shared" si="306"/>
        <v>0</v>
      </c>
      <c r="BE216" s="36">
        <v>0</v>
      </c>
      <c r="BF216" s="36">
        <f>216</f>
        <v>216</v>
      </c>
      <c r="BH216" s="26">
        <f t="shared" si="307"/>
        <v>0</v>
      </c>
      <c r="BI216" s="26">
        <f t="shared" si="308"/>
        <v>0</v>
      </c>
      <c r="BJ216" s="26">
        <f t="shared" si="309"/>
        <v>0</v>
      </c>
      <c r="BK216" s="26" t="s">
        <v>526</v>
      </c>
      <c r="BL216" s="36">
        <v>21</v>
      </c>
    </row>
    <row r="217" spans="1:64" ht="12.75">
      <c r="A217" s="5" t="s">
        <v>175</v>
      </c>
      <c r="B217" s="16" t="s">
        <v>208</v>
      </c>
      <c r="C217" s="16" t="s">
        <v>287</v>
      </c>
      <c r="D217" s="127" t="s">
        <v>411</v>
      </c>
      <c r="E217" s="128"/>
      <c r="F217" s="128"/>
      <c r="G217" s="128"/>
      <c r="H217" s="128"/>
      <c r="I217" s="16" t="s">
        <v>462</v>
      </c>
      <c r="J217" s="26">
        <v>2</v>
      </c>
      <c r="K217" s="26">
        <v>0</v>
      </c>
      <c r="L217" s="26">
        <f t="shared" si="288"/>
        <v>0</v>
      </c>
      <c r="M217" s="26">
        <f t="shared" si="289"/>
        <v>0</v>
      </c>
      <c r="N217" s="46">
        <f t="shared" si="290"/>
        <v>0</v>
      </c>
      <c r="O217" s="7"/>
      <c r="Z217" s="36">
        <f t="shared" si="291"/>
        <v>0</v>
      </c>
      <c r="AB217" s="36">
        <f t="shared" si="292"/>
        <v>0</v>
      </c>
      <c r="AC217" s="36">
        <f t="shared" si="293"/>
        <v>0</v>
      </c>
      <c r="AD217" s="36">
        <f t="shared" si="294"/>
        <v>0</v>
      </c>
      <c r="AE217" s="36">
        <f t="shared" si="295"/>
        <v>0</v>
      </c>
      <c r="AF217" s="36">
        <f t="shared" si="296"/>
        <v>0</v>
      </c>
      <c r="AG217" s="36">
        <f t="shared" si="297"/>
        <v>0</v>
      </c>
      <c r="AH217" s="36">
        <f t="shared" si="298"/>
        <v>0</v>
      </c>
      <c r="AI217" s="35" t="s">
        <v>208</v>
      </c>
      <c r="AJ217" s="26">
        <f t="shared" si="299"/>
        <v>0</v>
      </c>
      <c r="AK217" s="26">
        <f t="shared" si="300"/>
        <v>0</v>
      </c>
      <c r="AL217" s="26">
        <f t="shared" si="301"/>
        <v>0</v>
      </c>
      <c r="AN217" s="36">
        <v>21</v>
      </c>
      <c r="AO217" s="36">
        <f>K217*0</f>
        <v>0</v>
      </c>
      <c r="AP217" s="36">
        <f>K217*(1-0)</f>
        <v>0</v>
      </c>
      <c r="AQ217" s="37" t="s">
        <v>8</v>
      </c>
      <c r="AV217" s="36">
        <f t="shared" si="302"/>
        <v>0</v>
      </c>
      <c r="AW217" s="36">
        <f t="shared" si="303"/>
        <v>0</v>
      </c>
      <c r="AX217" s="36">
        <f t="shared" si="304"/>
        <v>0</v>
      </c>
      <c r="AY217" s="39" t="s">
        <v>496</v>
      </c>
      <c r="AZ217" s="39" t="s">
        <v>517</v>
      </c>
      <c r="BA217" s="35" t="s">
        <v>521</v>
      </c>
      <c r="BC217" s="36">
        <f t="shared" si="305"/>
        <v>0</v>
      </c>
      <c r="BD217" s="36">
        <f t="shared" si="306"/>
        <v>0</v>
      </c>
      <c r="BE217" s="36">
        <v>0</v>
      </c>
      <c r="BF217" s="36">
        <f>217</f>
        <v>217</v>
      </c>
      <c r="BH217" s="26">
        <f t="shared" si="307"/>
        <v>0</v>
      </c>
      <c r="BI217" s="26">
        <f t="shared" si="308"/>
        <v>0</v>
      </c>
      <c r="BJ217" s="26">
        <f t="shared" si="309"/>
        <v>0</v>
      </c>
      <c r="BK217" s="26" t="s">
        <v>526</v>
      </c>
      <c r="BL217" s="36">
        <v>21</v>
      </c>
    </row>
    <row r="218" spans="1:64" ht="12.75">
      <c r="A218" s="5" t="s">
        <v>176</v>
      </c>
      <c r="B218" s="16" t="s">
        <v>208</v>
      </c>
      <c r="C218" s="16" t="s">
        <v>288</v>
      </c>
      <c r="D218" s="127" t="s">
        <v>412</v>
      </c>
      <c r="E218" s="128"/>
      <c r="F218" s="128"/>
      <c r="G218" s="128"/>
      <c r="H218" s="128"/>
      <c r="I218" s="16" t="s">
        <v>462</v>
      </c>
      <c r="J218" s="26">
        <v>2</v>
      </c>
      <c r="K218" s="26">
        <v>0</v>
      </c>
      <c r="L218" s="26">
        <f t="shared" si="288"/>
        <v>0</v>
      </c>
      <c r="M218" s="26">
        <f t="shared" si="289"/>
        <v>0</v>
      </c>
      <c r="N218" s="46">
        <f t="shared" si="290"/>
        <v>0</v>
      </c>
      <c r="O218" s="7"/>
      <c r="Z218" s="36">
        <f t="shared" si="291"/>
        <v>0</v>
      </c>
      <c r="AB218" s="36">
        <f t="shared" si="292"/>
        <v>0</v>
      </c>
      <c r="AC218" s="36">
        <f t="shared" si="293"/>
        <v>0</v>
      </c>
      <c r="AD218" s="36">
        <f t="shared" si="294"/>
        <v>0</v>
      </c>
      <c r="AE218" s="36">
        <f t="shared" si="295"/>
        <v>0</v>
      </c>
      <c r="AF218" s="36">
        <f t="shared" si="296"/>
        <v>0</v>
      </c>
      <c r="AG218" s="36">
        <f t="shared" si="297"/>
        <v>0</v>
      </c>
      <c r="AH218" s="36">
        <f t="shared" si="298"/>
        <v>0</v>
      </c>
      <c r="AI218" s="35" t="s">
        <v>208</v>
      </c>
      <c r="AJ218" s="26">
        <f t="shared" si="299"/>
        <v>0</v>
      </c>
      <c r="AK218" s="26">
        <f t="shared" si="300"/>
        <v>0</v>
      </c>
      <c r="AL218" s="26">
        <f t="shared" si="301"/>
        <v>0</v>
      </c>
      <c r="AN218" s="36">
        <v>21</v>
      </c>
      <c r="AO218" s="36">
        <f>K218*0.41440355568948</f>
        <v>0</v>
      </c>
      <c r="AP218" s="36">
        <f>K218*(1-0.41440355568948)</f>
        <v>0</v>
      </c>
      <c r="AQ218" s="37" t="s">
        <v>8</v>
      </c>
      <c r="AV218" s="36">
        <f t="shared" si="302"/>
        <v>0</v>
      </c>
      <c r="AW218" s="36">
        <f t="shared" si="303"/>
        <v>0</v>
      </c>
      <c r="AX218" s="36">
        <f t="shared" si="304"/>
        <v>0</v>
      </c>
      <c r="AY218" s="39" t="s">
        <v>496</v>
      </c>
      <c r="AZ218" s="39" t="s">
        <v>517</v>
      </c>
      <c r="BA218" s="35" t="s">
        <v>521</v>
      </c>
      <c r="BC218" s="36">
        <f t="shared" si="305"/>
        <v>0</v>
      </c>
      <c r="BD218" s="36">
        <f t="shared" si="306"/>
        <v>0</v>
      </c>
      <c r="BE218" s="36">
        <v>0</v>
      </c>
      <c r="BF218" s="36">
        <f>218</f>
        <v>218</v>
      </c>
      <c r="BH218" s="26">
        <f t="shared" si="307"/>
        <v>0</v>
      </c>
      <c r="BI218" s="26">
        <f t="shared" si="308"/>
        <v>0</v>
      </c>
      <c r="BJ218" s="26">
        <f t="shared" si="309"/>
        <v>0</v>
      </c>
      <c r="BK218" s="26" t="s">
        <v>526</v>
      </c>
      <c r="BL218" s="36">
        <v>21</v>
      </c>
    </row>
    <row r="219" spans="1:64" ht="12.75">
      <c r="A219" s="5" t="s">
        <v>177</v>
      </c>
      <c r="B219" s="16" t="s">
        <v>208</v>
      </c>
      <c r="C219" s="16" t="s">
        <v>289</v>
      </c>
      <c r="D219" s="127" t="s">
        <v>413</v>
      </c>
      <c r="E219" s="128"/>
      <c r="F219" s="128"/>
      <c r="G219" s="128"/>
      <c r="H219" s="128"/>
      <c r="I219" s="16" t="s">
        <v>462</v>
      </c>
      <c r="J219" s="26">
        <v>2</v>
      </c>
      <c r="K219" s="26">
        <v>0</v>
      </c>
      <c r="L219" s="26">
        <f t="shared" si="288"/>
        <v>0</v>
      </c>
      <c r="M219" s="26">
        <f t="shared" si="289"/>
        <v>0</v>
      </c>
      <c r="N219" s="46">
        <f t="shared" si="290"/>
        <v>0</v>
      </c>
      <c r="O219" s="7"/>
      <c r="Z219" s="36">
        <f t="shared" si="291"/>
        <v>0</v>
      </c>
      <c r="AB219" s="36">
        <f t="shared" si="292"/>
        <v>0</v>
      </c>
      <c r="AC219" s="36">
        <f t="shared" si="293"/>
        <v>0</v>
      </c>
      <c r="AD219" s="36">
        <f t="shared" si="294"/>
        <v>0</v>
      </c>
      <c r="AE219" s="36">
        <f t="shared" si="295"/>
        <v>0</v>
      </c>
      <c r="AF219" s="36">
        <f t="shared" si="296"/>
        <v>0</v>
      </c>
      <c r="AG219" s="36">
        <f t="shared" si="297"/>
        <v>0</v>
      </c>
      <c r="AH219" s="36">
        <f t="shared" si="298"/>
        <v>0</v>
      </c>
      <c r="AI219" s="35" t="s">
        <v>208</v>
      </c>
      <c r="AJ219" s="26">
        <f t="shared" si="299"/>
        <v>0</v>
      </c>
      <c r="AK219" s="26">
        <f t="shared" si="300"/>
        <v>0</v>
      </c>
      <c r="AL219" s="26">
        <f t="shared" si="301"/>
        <v>0</v>
      </c>
      <c r="AN219" s="36">
        <v>21</v>
      </c>
      <c r="AO219" s="36">
        <f>K219*0</f>
        <v>0</v>
      </c>
      <c r="AP219" s="36">
        <f>K219*(1-0)</f>
        <v>0</v>
      </c>
      <c r="AQ219" s="37" t="s">
        <v>8</v>
      </c>
      <c r="AV219" s="36">
        <f t="shared" si="302"/>
        <v>0</v>
      </c>
      <c r="AW219" s="36">
        <f t="shared" si="303"/>
        <v>0</v>
      </c>
      <c r="AX219" s="36">
        <f t="shared" si="304"/>
        <v>0</v>
      </c>
      <c r="AY219" s="39" t="s">
        <v>496</v>
      </c>
      <c r="AZ219" s="39" t="s">
        <v>517</v>
      </c>
      <c r="BA219" s="35" t="s">
        <v>521</v>
      </c>
      <c r="BC219" s="36">
        <f t="shared" si="305"/>
        <v>0</v>
      </c>
      <c r="BD219" s="36">
        <f t="shared" si="306"/>
        <v>0</v>
      </c>
      <c r="BE219" s="36">
        <v>0</v>
      </c>
      <c r="BF219" s="36">
        <f>219</f>
        <v>219</v>
      </c>
      <c r="BH219" s="26">
        <f t="shared" si="307"/>
        <v>0</v>
      </c>
      <c r="BI219" s="26">
        <f t="shared" si="308"/>
        <v>0</v>
      </c>
      <c r="BJ219" s="26">
        <f t="shared" si="309"/>
        <v>0</v>
      </c>
      <c r="BK219" s="26" t="s">
        <v>526</v>
      </c>
      <c r="BL219" s="36">
        <v>21</v>
      </c>
    </row>
    <row r="220" spans="1:64" ht="12.75">
      <c r="A220" s="5" t="s">
        <v>178</v>
      </c>
      <c r="B220" s="16" t="s">
        <v>208</v>
      </c>
      <c r="C220" s="16" t="s">
        <v>290</v>
      </c>
      <c r="D220" s="127" t="s">
        <v>414</v>
      </c>
      <c r="E220" s="128"/>
      <c r="F220" s="128"/>
      <c r="G220" s="128"/>
      <c r="H220" s="128"/>
      <c r="I220" s="16" t="s">
        <v>462</v>
      </c>
      <c r="J220" s="26">
        <v>2</v>
      </c>
      <c r="K220" s="26">
        <v>0</v>
      </c>
      <c r="L220" s="26">
        <f t="shared" si="288"/>
        <v>0</v>
      </c>
      <c r="M220" s="26">
        <f t="shared" si="289"/>
        <v>0</v>
      </c>
      <c r="N220" s="46">
        <f t="shared" si="290"/>
        <v>0</v>
      </c>
      <c r="O220" s="7"/>
      <c r="Z220" s="36">
        <f t="shared" si="291"/>
        <v>0</v>
      </c>
      <c r="AB220" s="36">
        <f t="shared" si="292"/>
        <v>0</v>
      </c>
      <c r="AC220" s="36">
        <f t="shared" si="293"/>
        <v>0</v>
      </c>
      <c r="AD220" s="36">
        <f t="shared" si="294"/>
        <v>0</v>
      </c>
      <c r="AE220" s="36">
        <f t="shared" si="295"/>
        <v>0</v>
      </c>
      <c r="AF220" s="36">
        <f t="shared" si="296"/>
        <v>0</v>
      </c>
      <c r="AG220" s="36">
        <f t="shared" si="297"/>
        <v>0</v>
      </c>
      <c r="AH220" s="36">
        <f t="shared" si="298"/>
        <v>0</v>
      </c>
      <c r="AI220" s="35" t="s">
        <v>208</v>
      </c>
      <c r="AJ220" s="26">
        <f t="shared" si="299"/>
        <v>0</v>
      </c>
      <c r="AK220" s="26">
        <f t="shared" si="300"/>
        <v>0</v>
      </c>
      <c r="AL220" s="26">
        <f t="shared" si="301"/>
        <v>0</v>
      </c>
      <c r="AN220" s="36">
        <v>21</v>
      </c>
      <c r="AO220" s="36">
        <f>K220*0</f>
        <v>0</v>
      </c>
      <c r="AP220" s="36">
        <f>K220*(1-0)</f>
        <v>0</v>
      </c>
      <c r="AQ220" s="37" t="s">
        <v>8</v>
      </c>
      <c r="AV220" s="36">
        <f t="shared" si="302"/>
        <v>0</v>
      </c>
      <c r="AW220" s="36">
        <f t="shared" si="303"/>
        <v>0</v>
      </c>
      <c r="AX220" s="36">
        <f t="shared" si="304"/>
        <v>0</v>
      </c>
      <c r="AY220" s="39" t="s">
        <v>496</v>
      </c>
      <c r="AZ220" s="39" t="s">
        <v>517</v>
      </c>
      <c r="BA220" s="35" t="s">
        <v>521</v>
      </c>
      <c r="BC220" s="36">
        <f t="shared" si="305"/>
        <v>0</v>
      </c>
      <c r="BD220" s="36">
        <f t="shared" si="306"/>
        <v>0</v>
      </c>
      <c r="BE220" s="36">
        <v>0</v>
      </c>
      <c r="BF220" s="36">
        <f>220</f>
        <v>220</v>
      </c>
      <c r="BH220" s="26">
        <f t="shared" si="307"/>
        <v>0</v>
      </c>
      <c r="BI220" s="26">
        <f t="shared" si="308"/>
        <v>0</v>
      </c>
      <c r="BJ220" s="26">
        <f t="shared" si="309"/>
        <v>0</v>
      </c>
      <c r="BK220" s="26" t="s">
        <v>526</v>
      </c>
      <c r="BL220" s="36">
        <v>21</v>
      </c>
    </row>
    <row r="221" spans="1:64" ht="12.75">
      <c r="A221" s="5" t="s">
        <v>179</v>
      </c>
      <c r="B221" s="16" t="s">
        <v>208</v>
      </c>
      <c r="C221" s="16" t="s">
        <v>291</v>
      </c>
      <c r="D221" s="127" t="s">
        <v>415</v>
      </c>
      <c r="E221" s="128"/>
      <c r="F221" s="128"/>
      <c r="G221" s="128"/>
      <c r="H221" s="128"/>
      <c r="I221" s="16" t="s">
        <v>462</v>
      </c>
      <c r="J221" s="26">
        <v>4</v>
      </c>
      <c r="K221" s="26">
        <v>0</v>
      </c>
      <c r="L221" s="26">
        <f t="shared" si="288"/>
        <v>0</v>
      </c>
      <c r="M221" s="26">
        <f t="shared" si="289"/>
        <v>0</v>
      </c>
      <c r="N221" s="46">
        <f t="shared" si="290"/>
        <v>0</v>
      </c>
      <c r="O221" s="7"/>
      <c r="Z221" s="36">
        <f t="shared" si="291"/>
        <v>0</v>
      </c>
      <c r="AB221" s="36">
        <f t="shared" si="292"/>
        <v>0</v>
      </c>
      <c r="AC221" s="36">
        <f t="shared" si="293"/>
        <v>0</v>
      </c>
      <c r="AD221" s="36">
        <f t="shared" si="294"/>
        <v>0</v>
      </c>
      <c r="AE221" s="36">
        <f t="shared" si="295"/>
        <v>0</v>
      </c>
      <c r="AF221" s="36">
        <f t="shared" si="296"/>
        <v>0</v>
      </c>
      <c r="AG221" s="36">
        <f t="shared" si="297"/>
        <v>0</v>
      </c>
      <c r="AH221" s="36">
        <f t="shared" si="298"/>
        <v>0</v>
      </c>
      <c r="AI221" s="35" t="s">
        <v>208</v>
      </c>
      <c r="AJ221" s="26">
        <f t="shared" si="299"/>
        <v>0</v>
      </c>
      <c r="AK221" s="26">
        <f t="shared" si="300"/>
        <v>0</v>
      </c>
      <c r="AL221" s="26">
        <f t="shared" si="301"/>
        <v>0</v>
      </c>
      <c r="AN221" s="36">
        <v>21</v>
      </c>
      <c r="AO221" s="36">
        <f>K221*0</f>
        <v>0</v>
      </c>
      <c r="AP221" s="36">
        <f>K221*(1-0)</f>
        <v>0</v>
      </c>
      <c r="AQ221" s="37" t="s">
        <v>8</v>
      </c>
      <c r="AV221" s="36">
        <f t="shared" si="302"/>
        <v>0</v>
      </c>
      <c r="AW221" s="36">
        <f t="shared" si="303"/>
        <v>0</v>
      </c>
      <c r="AX221" s="36">
        <f t="shared" si="304"/>
        <v>0</v>
      </c>
      <c r="AY221" s="39" t="s">
        <v>496</v>
      </c>
      <c r="AZ221" s="39" t="s">
        <v>517</v>
      </c>
      <c r="BA221" s="35" t="s">
        <v>521</v>
      </c>
      <c r="BC221" s="36">
        <f t="shared" si="305"/>
        <v>0</v>
      </c>
      <c r="BD221" s="36">
        <f t="shared" si="306"/>
        <v>0</v>
      </c>
      <c r="BE221" s="36">
        <v>0</v>
      </c>
      <c r="BF221" s="36">
        <f>221</f>
        <v>221</v>
      </c>
      <c r="BH221" s="26">
        <f t="shared" si="307"/>
        <v>0</v>
      </c>
      <c r="BI221" s="26">
        <f t="shared" si="308"/>
        <v>0</v>
      </c>
      <c r="BJ221" s="26">
        <f t="shared" si="309"/>
        <v>0</v>
      </c>
      <c r="BK221" s="26" t="s">
        <v>526</v>
      </c>
      <c r="BL221" s="36">
        <v>21</v>
      </c>
    </row>
    <row r="222" spans="1:64" ht="12.75">
      <c r="A222" s="5" t="s">
        <v>180</v>
      </c>
      <c r="B222" s="16" t="s">
        <v>208</v>
      </c>
      <c r="C222" s="16" t="s">
        <v>293</v>
      </c>
      <c r="D222" s="127" t="s">
        <v>418</v>
      </c>
      <c r="E222" s="128"/>
      <c r="F222" s="128"/>
      <c r="G222" s="128"/>
      <c r="H222" s="128"/>
      <c r="I222" s="16" t="s">
        <v>465</v>
      </c>
      <c r="J222" s="26">
        <v>1</v>
      </c>
      <c r="K222" s="26">
        <v>0</v>
      </c>
      <c r="L222" s="26">
        <f t="shared" si="288"/>
        <v>0</v>
      </c>
      <c r="M222" s="26">
        <f t="shared" si="289"/>
        <v>0</v>
      </c>
      <c r="N222" s="46">
        <f t="shared" si="290"/>
        <v>0</v>
      </c>
      <c r="O222" s="7"/>
      <c r="Z222" s="36">
        <f t="shared" si="291"/>
        <v>0</v>
      </c>
      <c r="AB222" s="36">
        <f t="shared" si="292"/>
        <v>0</v>
      </c>
      <c r="AC222" s="36">
        <f t="shared" si="293"/>
        <v>0</v>
      </c>
      <c r="AD222" s="36">
        <f t="shared" si="294"/>
        <v>0</v>
      </c>
      <c r="AE222" s="36">
        <f t="shared" si="295"/>
        <v>0</v>
      </c>
      <c r="AF222" s="36">
        <f t="shared" si="296"/>
        <v>0</v>
      </c>
      <c r="AG222" s="36">
        <f t="shared" si="297"/>
        <v>0</v>
      </c>
      <c r="AH222" s="36">
        <f t="shared" si="298"/>
        <v>0</v>
      </c>
      <c r="AI222" s="35" t="s">
        <v>208</v>
      </c>
      <c r="AJ222" s="26">
        <f t="shared" si="299"/>
        <v>0</v>
      </c>
      <c r="AK222" s="26">
        <f t="shared" si="300"/>
        <v>0</v>
      </c>
      <c r="AL222" s="26">
        <f t="shared" si="301"/>
        <v>0</v>
      </c>
      <c r="AN222" s="36">
        <v>21</v>
      </c>
      <c r="AO222" s="36">
        <f>K222*0</f>
        <v>0</v>
      </c>
      <c r="AP222" s="36">
        <f>K222*(1-0)</f>
        <v>0</v>
      </c>
      <c r="AQ222" s="37" t="s">
        <v>7</v>
      </c>
      <c r="AV222" s="36">
        <f t="shared" si="302"/>
        <v>0</v>
      </c>
      <c r="AW222" s="36">
        <f t="shared" si="303"/>
        <v>0</v>
      </c>
      <c r="AX222" s="36">
        <f t="shared" si="304"/>
        <v>0</v>
      </c>
      <c r="AY222" s="39" t="s">
        <v>496</v>
      </c>
      <c r="AZ222" s="39" t="s">
        <v>517</v>
      </c>
      <c r="BA222" s="35" t="s">
        <v>521</v>
      </c>
      <c r="BC222" s="36">
        <f t="shared" si="305"/>
        <v>0</v>
      </c>
      <c r="BD222" s="36">
        <f t="shared" si="306"/>
        <v>0</v>
      </c>
      <c r="BE222" s="36">
        <v>0</v>
      </c>
      <c r="BF222" s="36">
        <f>222</f>
        <v>222</v>
      </c>
      <c r="BH222" s="26">
        <f t="shared" si="307"/>
        <v>0</v>
      </c>
      <c r="BI222" s="26">
        <f t="shared" si="308"/>
        <v>0</v>
      </c>
      <c r="BJ222" s="26">
        <f t="shared" si="309"/>
        <v>0</v>
      </c>
      <c r="BK222" s="26" t="s">
        <v>526</v>
      </c>
      <c r="BL222" s="36">
        <v>21</v>
      </c>
    </row>
    <row r="223" spans="1:15" ht="12.75">
      <c r="A223" s="7"/>
      <c r="C223" s="20" t="s">
        <v>205</v>
      </c>
      <c r="D223" s="135" t="s">
        <v>417</v>
      </c>
      <c r="E223" s="136"/>
      <c r="F223" s="136"/>
      <c r="G223" s="136"/>
      <c r="H223" s="136"/>
      <c r="I223" s="136"/>
      <c r="J223" s="136"/>
      <c r="K223" s="136"/>
      <c r="L223" s="136"/>
      <c r="M223" s="136"/>
      <c r="N223" s="137"/>
      <c r="O223" s="7"/>
    </row>
    <row r="224" spans="1:64" ht="12.75">
      <c r="A224" s="5" t="s">
        <v>181</v>
      </c>
      <c r="B224" s="16" t="s">
        <v>208</v>
      </c>
      <c r="C224" s="16" t="s">
        <v>242</v>
      </c>
      <c r="D224" s="127" t="s">
        <v>365</v>
      </c>
      <c r="E224" s="128"/>
      <c r="F224" s="128"/>
      <c r="G224" s="128"/>
      <c r="H224" s="128"/>
      <c r="I224" s="16" t="s">
        <v>465</v>
      </c>
      <c r="J224" s="26">
        <v>1</v>
      </c>
      <c r="K224" s="26">
        <v>0</v>
      </c>
      <c r="L224" s="26">
        <f>J224*AO224</f>
        <v>0</v>
      </c>
      <c r="M224" s="26">
        <f>J224*AP224</f>
        <v>0</v>
      </c>
      <c r="N224" s="46">
        <f>J224*K224</f>
        <v>0</v>
      </c>
      <c r="O224" s="7"/>
      <c r="Z224" s="36">
        <f>IF(AQ224="5",BJ224,0)</f>
        <v>0</v>
      </c>
      <c r="AB224" s="36">
        <f>IF(AQ224="1",BH224,0)</f>
        <v>0</v>
      </c>
      <c r="AC224" s="36">
        <f>IF(AQ224="1",BI224,0)</f>
        <v>0</v>
      </c>
      <c r="AD224" s="36">
        <f>IF(AQ224="7",BH224,0)</f>
        <v>0</v>
      </c>
      <c r="AE224" s="36">
        <f>IF(AQ224="7",BI224,0)</f>
        <v>0</v>
      </c>
      <c r="AF224" s="36">
        <f>IF(AQ224="2",BH224,0)</f>
        <v>0</v>
      </c>
      <c r="AG224" s="36">
        <f>IF(AQ224="2",BI224,0)</f>
        <v>0</v>
      </c>
      <c r="AH224" s="36">
        <f>IF(AQ224="0",BJ224,0)</f>
        <v>0</v>
      </c>
      <c r="AI224" s="35" t="s">
        <v>208</v>
      </c>
      <c r="AJ224" s="26">
        <f>IF(AN224=0,N224,0)</f>
        <v>0</v>
      </c>
      <c r="AK224" s="26">
        <f>IF(AN224=15,N224,0)</f>
        <v>0</v>
      </c>
      <c r="AL224" s="26">
        <f>IF(AN224=21,N224,0)</f>
        <v>0</v>
      </c>
      <c r="AN224" s="36">
        <v>21</v>
      </c>
      <c r="AO224" s="36">
        <f>K224*0</f>
        <v>0</v>
      </c>
      <c r="AP224" s="36">
        <f>K224*(1-0)</f>
        <v>0</v>
      </c>
      <c r="AQ224" s="37" t="s">
        <v>7</v>
      </c>
      <c r="AV224" s="36">
        <f>AW224+AX224</f>
        <v>0</v>
      </c>
      <c r="AW224" s="36">
        <f>J224*AO224</f>
        <v>0</v>
      </c>
      <c r="AX224" s="36">
        <f>J224*AP224</f>
        <v>0</v>
      </c>
      <c r="AY224" s="39" t="s">
        <v>496</v>
      </c>
      <c r="AZ224" s="39" t="s">
        <v>517</v>
      </c>
      <c r="BA224" s="35" t="s">
        <v>521</v>
      </c>
      <c r="BC224" s="36">
        <f>AW224+AX224</f>
        <v>0</v>
      </c>
      <c r="BD224" s="36">
        <f>K224/(100-BE224)*100</f>
        <v>0</v>
      </c>
      <c r="BE224" s="36">
        <v>0</v>
      </c>
      <c r="BF224" s="36">
        <f>224</f>
        <v>224</v>
      </c>
      <c r="BH224" s="26">
        <f>J224*AO224</f>
        <v>0</v>
      </c>
      <c r="BI224" s="26">
        <f>J224*AP224</f>
        <v>0</v>
      </c>
      <c r="BJ224" s="26">
        <f>J224*K224</f>
        <v>0</v>
      </c>
      <c r="BK224" s="26" t="s">
        <v>526</v>
      </c>
      <c r="BL224" s="36">
        <v>21</v>
      </c>
    </row>
    <row r="225" spans="1:47" ht="12.75">
      <c r="A225" s="4"/>
      <c r="B225" s="15" t="s">
        <v>208</v>
      </c>
      <c r="C225" s="15" t="s">
        <v>294</v>
      </c>
      <c r="D225" s="129" t="s">
        <v>419</v>
      </c>
      <c r="E225" s="130"/>
      <c r="F225" s="130"/>
      <c r="G225" s="130"/>
      <c r="H225" s="130"/>
      <c r="I225" s="23" t="s">
        <v>6</v>
      </c>
      <c r="J225" s="23" t="s">
        <v>6</v>
      </c>
      <c r="K225" s="23" t="s">
        <v>6</v>
      </c>
      <c r="L225" s="42">
        <f>SUM(L226:L233)</f>
        <v>0</v>
      </c>
      <c r="M225" s="42">
        <f>SUM(M226:M233)</f>
        <v>0</v>
      </c>
      <c r="N225" s="45">
        <f>SUM(N226:N233)</f>
        <v>0</v>
      </c>
      <c r="O225" s="7"/>
      <c r="AI225" s="35" t="s">
        <v>208</v>
      </c>
      <c r="AS225" s="42">
        <f>SUM(AJ226:AJ233)</f>
        <v>0</v>
      </c>
      <c r="AT225" s="42">
        <f>SUM(AK226:AK233)</f>
        <v>0</v>
      </c>
      <c r="AU225" s="42">
        <f>SUM(AL226:AL233)</f>
        <v>0</v>
      </c>
    </row>
    <row r="226" spans="1:64" ht="12.75">
      <c r="A226" s="5" t="s">
        <v>182</v>
      </c>
      <c r="B226" s="16" t="s">
        <v>208</v>
      </c>
      <c r="C226" s="16" t="s">
        <v>295</v>
      </c>
      <c r="D226" s="127" t="s">
        <v>420</v>
      </c>
      <c r="E226" s="128"/>
      <c r="F226" s="128"/>
      <c r="G226" s="128"/>
      <c r="H226" s="128"/>
      <c r="I226" s="16" t="s">
        <v>462</v>
      </c>
      <c r="J226" s="26">
        <v>10</v>
      </c>
      <c r="K226" s="26">
        <v>0</v>
      </c>
      <c r="L226" s="26">
        <f aca="true" t="shared" si="310" ref="L226:L233">J226*AO226</f>
        <v>0</v>
      </c>
      <c r="M226" s="26">
        <f aca="true" t="shared" si="311" ref="M226:M233">J226*AP226</f>
        <v>0</v>
      </c>
      <c r="N226" s="46">
        <f aca="true" t="shared" si="312" ref="N226:N233">J226*K226</f>
        <v>0</v>
      </c>
      <c r="O226" s="7"/>
      <c r="Z226" s="36">
        <f aca="true" t="shared" si="313" ref="Z226:Z233">IF(AQ226="5",BJ226,0)</f>
        <v>0</v>
      </c>
      <c r="AB226" s="36">
        <f aca="true" t="shared" si="314" ref="AB226:AB233">IF(AQ226="1",BH226,0)</f>
        <v>0</v>
      </c>
      <c r="AC226" s="36">
        <f aca="true" t="shared" si="315" ref="AC226:AC233">IF(AQ226="1",BI226,0)</f>
        <v>0</v>
      </c>
      <c r="AD226" s="36">
        <f aca="true" t="shared" si="316" ref="AD226:AD233">IF(AQ226="7",BH226,0)</f>
        <v>0</v>
      </c>
      <c r="AE226" s="36">
        <f aca="true" t="shared" si="317" ref="AE226:AE233">IF(AQ226="7",BI226,0)</f>
        <v>0</v>
      </c>
      <c r="AF226" s="36">
        <f aca="true" t="shared" si="318" ref="AF226:AF233">IF(AQ226="2",BH226,0)</f>
        <v>0</v>
      </c>
      <c r="AG226" s="36">
        <f aca="true" t="shared" si="319" ref="AG226:AG233">IF(AQ226="2",BI226,0)</f>
        <v>0</v>
      </c>
      <c r="AH226" s="36">
        <f aca="true" t="shared" si="320" ref="AH226:AH233">IF(AQ226="0",BJ226,0)</f>
        <v>0</v>
      </c>
      <c r="AI226" s="35" t="s">
        <v>208</v>
      </c>
      <c r="AJ226" s="26">
        <f aca="true" t="shared" si="321" ref="AJ226:AJ233">IF(AN226=0,N226,0)</f>
        <v>0</v>
      </c>
      <c r="AK226" s="26">
        <f aca="true" t="shared" si="322" ref="AK226:AK233">IF(AN226=15,N226,0)</f>
        <v>0</v>
      </c>
      <c r="AL226" s="26">
        <f aca="true" t="shared" si="323" ref="AL226:AL233">IF(AN226=21,N226,0)</f>
        <v>0</v>
      </c>
      <c r="AN226" s="36">
        <v>21</v>
      </c>
      <c r="AO226" s="36">
        <f>K226*0</f>
        <v>0</v>
      </c>
      <c r="AP226" s="36">
        <f>K226*(1-0)</f>
        <v>0</v>
      </c>
      <c r="AQ226" s="37" t="s">
        <v>13</v>
      </c>
      <c r="AV226" s="36">
        <f aca="true" t="shared" si="324" ref="AV226:AV233">AW226+AX226</f>
        <v>0</v>
      </c>
      <c r="AW226" s="36">
        <f aca="true" t="shared" si="325" ref="AW226:AW233">J226*AO226</f>
        <v>0</v>
      </c>
      <c r="AX226" s="36">
        <f aca="true" t="shared" si="326" ref="AX226:AX233">J226*AP226</f>
        <v>0</v>
      </c>
      <c r="AY226" s="39" t="s">
        <v>497</v>
      </c>
      <c r="AZ226" s="39" t="s">
        <v>518</v>
      </c>
      <c r="BA226" s="35" t="s">
        <v>521</v>
      </c>
      <c r="BC226" s="36">
        <f aca="true" t="shared" si="327" ref="BC226:BC233">AW226+AX226</f>
        <v>0</v>
      </c>
      <c r="BD226" s="36">
        <f aca="true" t="shared" si="328" ref="BD226:BD233">K226/(100-BE226)*100</f>
        <v>0</v>
      </c>
      <c r="BE226" s="36">
        <v>0</v>
      </c>
      <c r="BF226" s="36">
        <f>226</f>
        <v>226</v>
      </c>
      <c r="BH226" s="26">
        <f aca="true" t="shared" si="329" ref="BH226:BH233">J226*AO226</f>
        <v>0</v>
      </c>
      <c r="BI226" s="26">
        <f aca="true" t="shared" si="330" ref="BI226:BI233">J226*AP226</f>
        <v>0</v>
      </c>
      <c r="BJ226" s="26">
        <f aca="true" t="shared" si="331" ref="BJ226:BJ233">J226*K226</f>
        <v>0</v>
      </c>
      <c r="BK226" s="26" t="s">
        <v>526</v>
      </c>
      <c r="BL226" s="36">
        <v>766</v>
      </c>
    </row>
    <row r="227" spans="1:64" ht="12.75">
      <c r="A227" s="5" t="s">
        <v>183</v>
      </c>
      <c r="B227" s="16" t="s">
        <v>208</v>
      </c>
      <c r="C227" s="16" t="s">
        <v>296</v>
      </c>
      <c r="D227" s="127" t="s">
        <v>421</v>
      </c>
      <c r="E227" s="128"/>
      <c r="F227" s="128"/>
      <c r="G227" s="128"/>
      <c r="H227" s="128"/>
      <c r="I227" s="16" t="s">
        <v>462</v>
      </c>
      <c r="J227" s="26">
        <v>10</v>
      </c>
      <c r="K227" s="26">
        <v>0</v>
      </c>
      <c r="L227" s="26">
        <f t="shared" si="310"/>
        <v>0</v>
      </c>
      <c r="M227" s="26">
        <f t="shared" si="311"/>
        <v>0</v>
      </c>
      <c r="N227" s="46">
        <f t="shared" si="312"/>
        <v>0</v>
      </c>
      <c r="O227" s="7"/>
      <c r="Z227" s="36">
        <f t="shared" si="313"/>
        <v>0</v>
      </c>
      <c r="AB227" s="36">
        <f t="shared" si="314"/>
        <v>0</v>
      </c>
      <c r="AC227" s="36">
        <f t="shared" si="315"/>
        <v>0</v>
      </c>
      <c r="AD227" s="36">
        <f t="shared" si="316"/>
        <v>0</v>
      </c>
      <c r="AE227" s="36">
        <f t="shared" si="317"/>
        <v>0</v>
      </c>
      <c r="AF227" s="36">
        <f t="shared" si="318"/>
        <v>0</v>
      </c>
      <c r="AG227" s="36">
        <f t="shared" si="319"/>
        <v>0</v>
      </c>
      <c r="AH227" s="36">
        <f t="shared" si="320"/>
        <v>0</v>
      </c>
      <c r="AI227" s="35" t="s">
        <v>208</v>
      </c>
      <c r="AJ227" s="26">
        <f t="shared" si="321"/>
        <v>0</v>
      </c>
      <c r="AK227" s="26">
        <f t="shared" si="322"/>
        <v>0</v>
      </c>
      <c r="AL227" s="26">
        <f t="shared" si="323"/>
        <v>0</v>
      </c>
      <c r="AN227" s="36">
        <v>21</v>
      </c>
      <c r="AO227" s="36">
        <f>K227*0</f>
        <v>0</v>
      </c>
      <c r="AP227" s="36">
        <f>K227*(1-0)</f>
        <v>0</v>
      </c>
      <c r="AQ227" s="37" t="s">
        <v>13</v>
      </c>
      <c r="AV227" s="36">
        <f t="shared" si="324"/>
        <v>0</v>
      </c>
      <c r="AW227" s="36">
        <f t="shared" si="325"/>
        <v>0</v>
      </c>
      <c r="AX227" s="36">
        <f t="shared" si="326"/>
        <v>0</v>
      </c>
      <c r="AY227" s="39" t="s">
        <v>497</v>
      </c>
      <c r="AZ227" s="39" t="s">
        <v>518</v>
      </c>
      <c r="BA227" s="35" t="s">
        <v>521</v>
      </c>
      <c r="BC227" s="36">
        <f t="shared" si="327"/>
        <v>0</v>
      </c>
      <c r="BD227" s="36">
        <f t="shared" si="328"/>
        <v>0</v>
      </c>
      <c r="BE227" s="36">
        <v>0</v>
      </c>
      <c r="BF227" s="36">
        <f>227</f>
        <v>227</v>
      </c>
      <c r="BH227" s="26">
        <f t="shared" si="329"/>
        <v>0</v>
      </c>
      <c r="BI227" s="26">
        <f t="shared" si="330"/>
        <v>0</v>
      </c>
      <c r="BJ227" s="26">
        <f t="shared" si="331"/>
        <v>0</v>
      </c>
      <c r="BK227" s="26" t="s">
        <v>526</v>
      </c>
      <c r="BL227" s="36">
        <v>766</v>
      </c>
    </row>
    <row r="228" spans="1:64" ht="12.75">
      <c r="A228" s="5" t="s">
        <v>184</v>
      </c>
      <c r="B228" s="16" t="s">
        <v>208</v>
      </c>
      <c r="C228" s="16" t="s">
        <v>297</v>
      </c>
      <c r="D228" s="127" t="s">
        <v>422</v>
      </c>
      <c r="E228" s="128"/>
      <c r="F228" s="128"/>
      <c r="G228" s="128"/>
      <c r="H228" s="128"/>
      <c r="I228" s="16" t="s">
        <v>462</v>
      </c>
      <c r="J228" s="26">
        <v>10</v>
      </c>
      <c r="K228" s="26">
        <v>0</v>
      </c>
      <c r="L228" s="26">
        <f t="shared" si="310"/>
        <v>0</v>
      </c>
      <c r="M228" s="26">
        <f t="shared" si="311"/>
        <v>0</v>
      </c>
      <c r="N228" s="46">
        <f t="shared" si="312"/>
        <v>0</v>
      </c>
      <c r="O228" s="7"/>
      <c r="Z228" s="36">
        <f t="shared" si="313"/>
        <v>0</v>
      </c>
      <c r="AB228" s="36">
        <f t="shared" si="314"/>
        <v>0</v>
      </c>
      <c r="AC228" s="36">
        <f t="shared" si="315"/>
        <v>0</v>
      </c>
      <c r="AD228" s="36">
        <f t="shared" si="316"/>
        <v>0</v>
      </c>
      <c r="AE228" s="36">
        <f t="shared" si="317"/>
        <v>0</v>
      </c>
      <c r="AF228" s="36">
        <f t="shared" si="318"/>
        <v>0</v>
      </c>
      <c r="AG228" s="36">
        <f t="shared" si="319"/>
        <v>0</v>
      </c>
      <c r="AH228" s="36">
        <f t="shared" si="320"/>
        <v>0</v>
      </c>
      <c r="AI228" s="35" t="s">
        <v>208</v>
      </c>
      <c r="AJ228" s="26">
        <f t="shared" si="321"/>
        <v>0</v>
      </c>
      <c r="AK228" s="26">
        <f t="shared" si="322"/>
        <v>0</v>
      </c>
      <c r="AL228" s="26">
        <f t="shared" si="323"/>
        <v>0</v>
      </c>
      <c r="AN228" s="36">
        <v>21</v>
      </c>
      <c r="AO228" s="36">
        <f>K228*0</f>
        <v>0</v>
      </c>
      <c r="AP228" s="36">
        <f>K228*(1-0)</f>
        <v>0</v>
      </c>
      <c r="AQ228" s="37" t="s">
        <v>13</v>
      </c>
      <c r="AV228" s="36">
        <f t="shared" si="324"/>
        <v>0</v>
      </c>
      <c r="AW228" s="36">
        <f t="shared" si="325"/>
        <v>0</v>
      </c>
      <c r="AX228" s="36">
        <f t="shared" si="326"/>
        <v>0</v>
      </c>
      <c r="AY228" s="39" t="s">
        <v>497</v>
      </c>
      <c r="AZ228" s="39" t="s">
        <v>518</v>
      </c>
      <c r="BA228" s="35" t="s">
        <v>521</v>
      </c>
      <c r="BC228" s="36">
        <f t="shared" si="327"/>
        <v>0</v>
      </c>
      <c r="BD228" s="36">
        <f t="shared" si="328"/>
        <v>0</v>
      </c>
      <c r="BE228" s="36">
        <v>0</v>
      </c>
      <c r="BF228" s="36">
        <f>228</f>
        <v>228</v>
      </c>
      <c r="BH228" s="26">
        <f t="shared" si="329"/>
        <v>0</v>
      </c>
      <c r="BI228" s="26">
        <f t="shared" si="330"/>
        <v>0</v>
      </c>
      <c r="BJ228" s="26">
        <f t="shared" si="331"/>
        <v>0</v>
      </c>
      <c r="BK228" s="26" t="s">
        <v>526</v>
      </c>
      <c r="BL228" s="36">
        <v>766</v>
      </c>
    </row>
    <row r="229" spans="1:64" ht="12.75">
      <c r="A229" s="5" t="s">
        <v>185</v>
      </c>
      <c r="B229" s="16" t="s">
        <v>208</v>
      </c>
      <c r="C229" s="16" t="s">
        <v>301</v>
      </c>
      <c r="D229" s="127" t="s">
        <v>426</v>
      </c>
      <c r="E229" s="128"/>
      <c r="F229" s="128"/>
      <c r="G229" s="128"/>
      <c r="H229" s="128"/>
      <c r="I229" s="16" t="s">
        <v>462</v>
      </c>
      <c r="J229" s="26">
        <v>2</v>
      </c>
      <c r="K229" s="26">
        <v>0</v>
      </c>
      <c r="L229" s="26">
        <f t="shared" si="310"/>
        <v>0</v>
      </c>
      <c r="M229" s="26">
        <f t="shared" si="311"/>
        <v>0</v>
      </c>
      <c r="N229" s="46">
        <f t="shared" si="312"/>
        <v>0</v>
      </c>
      <c r="O229" s="7"/>
      <c r="Z229" s="36">
        <f t="shared" si="313"/>
        <v>0</v>
      </c>
      <c r="AB229" s="36">
        <f t="shared" si="314"/>
        <v>0</v>
      </c>
      <c r="AC229" s="36">
        <f t="shared" si="315"/>
        <v>0</v>
      </c>
      <c r="AD229" s="36">
        <f t="shared" si="316"/>
        <v>0</v>
      </c>
      <c r="AE229" s="36">
        <f t="shared" si="317"/>
        <v>0</v>
      </c>
      <c r="AF229" s="36">
        <f t="shared" si="318"/>
        <v>0</v>
      </c>
      <c r="AG229" s="36">
        <f t="shared" si="319"/>
        <v>0</v>
      </c>
      <c r="AH229" s="36">
        <f t="shared" si="320"/>
        <v>0</v>
      </c>
      <c r="AI229" s="35" t="s">
        <v>208</v>
      </c>
      <c r="AJ229" s="26">
        <f t="shared" si="321"/>
        <v>0</v>
      </c>
      <c r="AK229" s="26">
        <f t="shared" si="322"/>
        <v>0</v>
      </c>
      <c r="AL229" s="26">
        <f t="shared" si="323"/>
        <v>0</v>
      </c>
      <c r="AN229" s="36">
        <v>21</v>
      </c>
      <c r="AO229" s="36">
        <f>K229*0</f>
        <v>0</v>
      </c>
      <c r="AP229" s="36">
        <f>K229*(1-0)</f>
        <v>0</v>
      </c>
      <c r="AQ229" s="37" t="s">
        <v>13</v>
      </c>
      <c r="AV229" s="36">
        <f t="shared" si="324"/>
        <v>0</v>
      </c>
      <c r="AW229" s="36">
        <f t="shared" si="325"/>
        <v>0</v>
      </c>
      <c r="AX229" s="36">
        <f t="shared" si="326"/>
        <v>0</v>
      </c>
      <c r="AY229" s="39" t="s">
        <v>497</v>
      </c>
      <c r="AZ229" s="39" t="s">
        <v>518</v>
      </c>
      <c r="BA229" s="35" t="s">
        <v>521</v>
      </c>
      <c r="BC229" s="36">
        <f t="shared" si="327"/>
        <v>0</v>
      </c>
      <c r="BD229" s="36">
        <f t="shared" si="328"/>
        <v>0</v>
      </c>
      <c r="BE229" s="36">
        <v>0</v>
      </c>
      <c r="BF229" s="36">
        <f>229</f>
        <v>229</v>
      </c>
      <c r="BH229" s="26">
        <f t="shared" si="329"/>
        <v>0</v>
      </c>
      <c r="BI229" s="26">
        <f t="shared" si="330"/>
        <v>0</v>
      </c>
      <c r="BJ229" s="26">
        <f t="shared" si="331"/>
        <v>0</v>
      </c>
      <c r="BK229" s="26" t="s">
        <v>526</v>
      </c>
      <c r="BL229" s="36">
        <v>766</v>
      </c>
    </row>
    <row r="230" spans="1:64" ht="12.75">
      <c r="A230" s="5" t="s">
        <v>186</v>
      </c>
      <c r="B230" s="16" t="s">
        <v>208</v>
      </c>
      <c r="C230" s="16" t="s">
        <v>302</v>
      </c>
      <c r="D230" s="127" t="s">
        <v>427</v>
      </c>
      <c r="E230" s="128"/>
      <c r="F230" s="128"/>
      <c r="G230" s="128"/>
      <c r="H230" s="128"/>
      <c r="I230" s="16" t="s">
        <v>463</v>
      </c>
      <c r="J230" s="26">
        <v>0.2</v>
      </c>
      <c r="K230" s="26">
        <v>0</v>
      </c>
      <c r="L230" s="26">
        <f t="shared" si="310"/>
        <v>0</v>
      </c>
      <c r="M230" s="26">
        <f t="shared" si="311"/>
        <v>0</v>
      </c>
      <c r="N230" s="46">
        <f t="shared" si="312"/>
        <v>0</v>
      </c>
      <c r="O230" s="7"/>
      <c r="Z230" s="36">
        <f t="shared" si="313"/>
        <v>0</v>
      </c>
      <c r="AB230" s="36">
        <f t="shared" si="314"/>
        <v>0</v>
      </c>
      <c r="AC230" s="36">
        <f t="shared" si="315"/>
        <v>0</v>
      </c>
      <c r="AD230" s="36">
        <f t="shared" si="316"/>
        <v>0</v>
      </c>
      <c r="AE230" s="36">
        <f t="shared" si="317"/>
        <v>0</v>
      </c>
      <c r="AF230" s="36">
        <f t="shared" si="318"/>
        <v>0</v>
      </c>
      <c r="AG230" s="36">
        <f t="shared" si="319"/>
        <v>0</v>
      </c>
      <c r="AH230" s="36">
        <f t="shared" si="320"/>
        <v>0</v>
      </c>
      <c r="AI230" s="35" t="s">
        <v>208</v>
      </c>
      <c r="AJ230" s="26">
        <f t="shared" si="321"/>
        <v>0</v>
      </c>
      <c r="AK230" s="26">
        <f t="shared" si="322"/>
        <v>0</v>
      </c>
      <c r="AL230" s="26">
        <f t="shared" si="323"/>
        <v>0</v>
      </c>
      <c r="AN230" s="36">
        <v>21</v>
      </c>
      <c r="AO230" s="36">
        <f>K230*0</f>
        <v>0</v>
      </c>
      <c r="AP230" s="36">
        <f>K230*(1-0)</f>
        <v>0</v>
      </c>
      <c r="AQ230" s="37" t="s">
        <v>11</v>
      </c>
      <c r="AV230" s="36">
        <f t="shared" si="324"/>
        <v>0</v>
      </c>
      <c r="AW230" s="36">
        <f t="shared" si="325"/>
        <v>0</v>
      </c>
      <c r="AX230" s="36">
        <f t="shared" si="326"/>
        <v>0</v>
      </c>
      <c r="AY230" s="39" t="s">
        <v>497</v>
      </c>
      <c r="AZ230" s="39" t="s">
        <v>518</v>
      </c>
      <c r="BA230" s="35" t="s">
        <v>521</v>
      </c>
      <c r="BC230" s="36">
        <f t="shared" si="327"/>
        <v>0</v>
      </c>
      <c r="BD230" s="36">
        <f t="shared" si="328"/>
        <v>0</v>
      </c>
      <c r="BE230" s="36">
        <v>0</v>
      </c>
      <c r="BF230" s="36">
        <f>230</f>
        <v>230</v>
      </c>
      <c r="BH230" s="26">
        <f t="shared" si="329"/>
        <v>0</v>
      </c>
      <c r="BI230" s="26">
        <f t="shared" si="330"/>
        <v>0</v>
      </c>
      <c r="BJ230" s="26">
        <f t="shared" si="331"/>
        <v>0</v>
      </c>
      <c r="BK230" s="26" t="s">
        <v>526</v>
      </c>
      <c r="BL230" s="36">
        <v>766</v>
      </c>
    </row>
    <row r="231" spans="1:64" ht="12.75">
      <c r="A231" s="6" t="s">
        <v>187</v>
      </c>
      <c r="B231" s="17" t="s">
        <v>208</v>
      </c>
      <c r="C231" s="17" t="s">
        <v>298</v>
      </c>
      <c r="D231" s="133" t="s">
        <v>423</v>
      </c>
      <c r="E231" s="134"/>
      <c r="F231" s="134"/>
      <c r="G231" s="134"/>
      <c r="H231" s="134"/>
      <c r="I231" s="17" t="s">
        <v>462</v>
      </c>
      <c r="J231" s="27">
        <v>8</v>
      </c>
      <c r="K231" s="27">
        <v>0</v>
      </c>
      <c r="L231" s="27">
        <f t="shared" si="310"/>
        <v>0</v>
      </c>
      <c r="M231" s="27">
        <f t="shared" si="311"/>
        <v>0</v>
      </c>
      <c r="N231" s="47">
        <f t="shared" si="312"/>
        <v>0</v>
      </c>
      <c r="O231" s="7"/>
      <c r="Z231" s="36">
        <f t="shared" si="313"/>
        <v>0</v>
      </c>
      <c r="AB231" s="36">
        <f t="shared" si="314"/>
        <v>0</v>
      </c>
      <c r="AC231" s="36">
        <f t="shared" si="315"/>
        <v>0</v>
      </c>
      <c r="AD231" s="36">
        <f t="shared" si="316"/>
        <v>0</v>
      </c>
      <c r="AE231" s="36">
        <f t="shared" si="317"/>
        <v>0</v>
      </c>
      <c r="AF231" s="36">
        <f t="shared" si="318"/>
        <v>0</v>
      </c>
      <c r="AG231" s="36">
        <f t="shared" si="319"/>
        <v>0</v>
      </c>
      <c r="AH231" s="36">
        <f t="shared" si="320"/>
        <v>0</v>
      </c>
      <c r="AI231" s="35" t="s">
        <v>208</v>
      </c>
      <c r="AJ231" s="27">
        <f t="shared" si="321"/>
        <v>0</v>
      </c>
      <c r="AK231" s="27">
        <f t="shared" si="322"/>
        <v>0</v>
      </c>
      <c r="AL231" s="27">
        <f t="shared" si="323"/>
        <v>0</v>
      </c>
      <c r="AN231" s="36">
        <v>21</v>
      </c>
      <c r="AO231" s="36">
        <f>K231*1</f>
        <v>0</v>
      </c>
      <c r="AP231" s="36">
        <f>K231*(1-1)</f>
        <v>0</v>
      </c>
      <c r="AQ231" s="38" t="s">
        <v>13</v>
      </c>
      <c r="AV231" s="36">
        <f t="shared" si="324"/>
        <v>0</v>
      </c>
      <c r="AW231" s="36">
        <f t="shared" si="325"/>
        <v>0</v>
      </c>
      <c r="AX231" s="36">
        <f t="shared" si="326"/>
        <v>0</v>
      </c>
      <c r="AY231" s="39" t="s">
        <v>497</v>
      </c>
      <c r="AZ231" s="39" t="s">
        <v>518</v>
      </c>
      <c r="BA231" s="35" t="s">
        <v>521</v>
      </c>
      <c r="BC231" s="36">
        <f t="shared" si="327"/>
        <v>0</v>
      </c>
      <c r="BD231" s="36">
        <f t="shared" si="328"/>
        <v>0</v>
      </c>
      <c r="BE231" s="36">
        <v>0</v>
      </c>
      <c r="BF231" s="36">
        <f>231</f>
        <v>231</v>
      </c>
      <c r="BH231" s="27">
        <f t="shared" si="329"/>
        <v>0</v>
      </c>
      <c r="BI231" s="27">
        <f t="shared" si="330"/>
        <v>0</v>
      </c>
      <c r="BJ231" s="27">
        <f t="shared" si="331"/>
        <v>0</v>
      </c>
      <c r="BK231" s="27" t="s">
        <v>527</v>
      </c>
      <c r="BL231" s="36">
        <v>766</v>
      </c>
    </row>
    <row r="232" spans="1:64" ht="12.75">
      <c r="A232" s="6" t="s">
        <v>188</v>
      </c>
      <c r="B232" s="17" t="s">
        <v>208</v>
      </c>
      <c r="C232" s="17" t="s">
        <v>299</v>
      </c>
      <c r="D232" s="133" t="s">
        <v>424</v>
      </c>
      <c r="E232" s="134"/>
      <c r="F232" s="134"/>
      <c r="G232" s="134"/>
      <c r="H232" s="134"/>
      <c r="I232" s="17" t="s">
        <v>462</v>
      </c>
      <c r="J232" s="27">
        <v>2</v>
      </c>
      <c r="K232" s="27">
        <v>0</v>
      </c>
      <c r="L232" s="27">
        <f t="shared" si="310"/>
        <v>0</v>
      </c>
      <c r="M232" s="27">
        <f t="shared" si="311"/>
        <v>0</v>
      </c>
      <c r="N232" s="47">
        <f t="shared" si="312"/>
        <v>0</v>
      </c>
      <c r="O232" s="7"/>
      <c r="Z232" s="36">
        <f t="shared" si="313"/>
        <v>0</v>
      </c>
      <c r="AB232" s="36">
        <f t="shared" si="314"/>
        <v>0</v>
      </c>
      <c r="AC232" s="36">
        <f t="shared" si="315"/>
        <v>0</v>
      </c>
      <c r="AD232" s="36">
        <f t="shared" si="316"/>
        <v>0</v>
      </c>
      <c r="AE232" s="36">
        <f t="shared" si="317"/>
        <v>0</v>
      </c>
      <c r="AF232" s="36">
        <f t="shared" si="318"/>
        <v>0</v>
      </c>
      <c r="AG232" s="36">
        <f t="shared" si="319"/>
        <v>0</v>
      </c>
      <c r="AH232" s="36">
        <f t="shared" si="320"/>
        <v>0</v>
      </c>
      <c r="AI232" s="35" t="s">
        <v>208</v>
      </c>
      <c r="AJ232" s="27">
        <f t="shared" si="321"/>
        <v>0</v>
      </c>
      <c r="AK232" s="27">
        <f t="shared" si="322"/>
        <v>0</v>
      </c>
      <c r="AL232" s="27">
        <f t="shared" si="323"/>
        <v>0</v>
      </c>
      <c r="AN232" s="36">
        <v>21</v>
      </c>
      <c r="AO232" s="36">
        <f>K232*1</f>
        <v>0</v>
      </c>
      <c r="AP232" s="36">
        <f>K232*(1-1)</f>
        <v>0</v>
      </c>
      <c r="AQ232" s="38" t="s">
        <v>13</v>
      </c>
      <c r="AV232" s="36">
        <f t="shared" si="324"/>
        <v>0</v>
      </c>
      <c r="AW232" s="36">
        <f t="shared" si="325"/>
        <v>0</v>
      </c>
      <c r="AX232" s="36">
        <f t="shared" si="326"/>
        <v>0</v>
      </c>
      <c r="AY232" s="39" t="s">
        <v>497</v>
      </c>
      <c r="AZ232" s="39" t="s">
        <v>518</v>
      </c>
      <c r="BA232" s="35" t="s">
        <v>521</v>
      </c>
      <c r="BC232" s="36">
        <f t="shared" si="327"/>
        <v>0</v>
      </c>
      <c r="BD232" s="36">
        <f t="shared" si="328"/>
        <v>0</v>
      </c>
      <c r="BE232" s="36">
        <v>0</v>
      </c>
      <c r="BF232" s="36">
        <f>232</f>
        <v>232</v>
      </c>
      <c r="BH232" s="27">
        <f t="shared" si="329"/>
        <v>0</v>
      </c>
      <c r="BI232" s="27">
        <f t="shared" si="330"/>
        <v>0</v>
      </c>
      <c r="BJ232" s="27">
        <f t="shared" si="331"/>
        <v>0</v>
      </c>
      <c r="BK232" s="27" t="s">
        <v>527</v>
      </c>
      <c r="BL232" s="36">
        <v>766</v>
      </c>
    </row>
    <row r="233" spans="1:64" ht="12.75">
      <c r="A233" s="6" t="s">
        <v>189</v>
      </c>
      <c r="B233" s="17" t="s">
        <v>208</v>
      </c>
      <c r="C233" s="17" t="s">
        <v>300</v>
      </c>
      <c r="D233" s="133" t="s">
        <v>425</v>
      </c>
      <c r="E233" s="134"/>
      <c r="F233" s="134"/>
      <c r="G233" s="134"/>
      <c r="H233" s="134"/>
      <c r="I233" s="17" t="s">
        <v>462</v>
      </c>
      <c r="J233" s="27">
        <v>10</v>
      </c>
      <c r="K233" s="27">
        <v>0</v>
      </c>
      <c r="L233" s="27">
        <f t="shared" si="310"/>
        <v>0</v>
      </c>
      <c r="M233" s="27">
        <f t="shared" si="311"/>
        <v>0</v>
      </c>
      <c r="N233" s="47">
        <f t="shared" si="312"/>
        <v>0</v>
      </c>
      <c r="O233" s="7"/>
      <c r="Z233" s="36">
        <f t="shared" si="313"/>
        <v>0</v>
      </c>
      <c r="AB233" s="36">
        <f t="shared" si="314"/>
        <v>0</v>
      </c>
      <c r="AC233" s="36">
        <f t="shared" si="315"/>
        <v>0</v>
      </c>
      <c r="AD233" s="36">
        <f t="shared" si="316"/>
        <v>0</v>
      </c>
      <c r="AE233" s="36">
        <f t="shared" si="317"/>
        <v>0</v>
      </c>
      <c r="AF233" s="36">
        <f t="shared" si="318"/>
        <v>0</v>
      </c>
      <c r="AG233" s="36">
        <f t="shared" si="319"/>
        <v>0</v>
      </c>
      <c r="AH233" s="36">
        <f t="shared" si="320"/>
        <v>0</v>
      </c>
      <c r="AI233" s="35" t="s">
        <v>208</v>
      </c>
      <c r="AJ233" s="27">
        <f t="shared" si="321"/>
        <v>0</v>
      </c>
      <c r="AK233" s="27">
        <f t="shared" si="322"/>
        <v>0</v>
      </c>
      <c r="AL233" s="27">
        <f t="shared" si="323"/>
        <v>0</v>
      </c>
      <c r="AN233" s="36">
        <v>21</v>
      </c>
      <c r="AO233" s="36">
        <f>K233*1</f>
        <v>0</v>
      </c>
      <c r="AP233" s="36">
        <f>K233*(1-1)</f>
        <v>0</v>
      </c>
      <c r="AQ233" s="38" t="s">
        <v>13</v>
      </c>
      <c r="AV233" s="36">
        <f t="shared" si="324"/>
        <v>0</v>
      </c>
      <c r="AW233" s="36">
        <f t="shared" si="325"/>
        <v>0</v>
      </c>
      <c r="AX233" s="36">
        <f t="shared" si="326"/>
        <v>0</v>
      </c>
      <c r="AY233" s="39" t="s">
        <v>497</v>
      </c>
      <c r="AZ233" s="39" t="s">
        <v>518</v>
      </c>
      <c r="BA233" s="35" t="s">
        <v>521</v>
      </c>
      <c r="BC233" s="36">
        <f t="shared" si="327"/>
        <v>0</v>
      </c>
      <c r="BD233" s="36">
        <f t="shared" si="328"/>
        <v>0</v>
      </c>
      <c r="BE233" s="36">
        <v>0</v>
      </c>
      <c r="BF233" s="36">
        <f>233</f>
        <v>233</v>
      </c>
      <c r="BH233" s="27">
        <f t="shared" si="329"/>
        <v>0</v>
      </c>
      <c r="BI233" s="27">
        <f t="shared" si="330"/>
        <v>0</v>
      </c>
      <c r="BJ233" s="27">
        <f t="shared" si="331"/>
        <v>0</v>
      </c>
      <c r="BK233" s="27" t="s">
        <v>527</v>
      </c>
      <c r="BL233" s="36">
        <v>766</v>
      </c>
    </row>
    <row r="234" spans="1:47" ht="12.75">
      <c r="A234" s="4"/>
      <c r="B234" s="15" t="s">
        <v>208</v>
      </c>
      <c r="C234" s="15" t="s">
        <v>303</v>
      </c>
      <c r="D234" s="129" t="s">
        <v>428</v>
      </c>
      <c r="E234" s="130"/>
      <c r="F234" s="130"/>
      <c r="G234" s="130"/>
      <c r="H234" s="130"/>
      <c r="I234" s="23" t="s">
        <v>6</v>
      </c>
      <c r="J234" s="23" t="s">
        <v>6</v>
      </c>
      <c r="K234" s="23" t="s">
        <v>6</v>
      </c>
      <c r="L234" s="42">
        <f>SUM(L235:L235)</f>
        <v>0</v>
      </c>
      <c r="M234" s="42">
        <f>SUM(M235:M235)</f>
        <v>0</v>
      </c>
      <c r="N234" s="45">
        <f>SUM(N235:N235)</f>
        <v>0</v>
      </c>
      <c r="O234" s="7"/>
      <c r="AI234" s="35" t="s">
        <v>208</v>
      </c>
      <c r="AS234" s="42">
        <f>SUM(AJ235:AJ235)</f>
        <v>0</v>
      </c>
      <c r="AT234" s="42">
        <f>SUM(AK235:AK235)</f>
        <v>0</v>
      </c>
      <c r="AU234" s="42">
        <f>SUM(AL235:AL235)</f>
        <v>0</v>
      </c>
    </row>
    <row r="235" spans="1:64" ht="12.75">
      <c r="A235" s="5" t="s">
        <v>190</v>
      </c>
      <c r="B235" s="16" t="s">
        <v>208</v>
      </c>
      <c r="C235" s="16" t="s">
        <v>304</v>
      </c>
      <c r="D235" s="127" t="s">
        <v>429</v>
      </c>
      <c r="E235" s="128"/>
      <c r="F235" s="128"/>
      <c r="G235" s="128"/>
      <c r="H235" s="128"/>
      <c r="I235" s="16" t="s">
        <v>460</v>
      </c>
      <c r="J235" s="26">
        <v>8.946</v>
      </c>
      <c r="K235" s="26">
        <v>0</v>
      </c>
      <c r="L235" s="26">
        <f>J235*AO235</f>
        <v>0</v>
      </c>
      <c r="M235" s="26">
        <f>J235*AP235</f>
        <v>0</v>
      </c>
      <c r="N235" s="46">
        <f>J235*K235</f>
        <v>0</v>
      </c>
      <c r="O235" s="7"/>
      <c r="Z235" s="36">
        <f>IF(AQ235="5",BJ235,0)</f>
        <v>0</v>
      </c>
      <c r="AB235" s="36">
        <f>IF(AQ235="1",BH235,0)</f>
        <v>0</v>
      </c>
      <c r="AC235" s="36">
        <f>IF(AQ235="1",BI235,0)</f>
        <v>0</v>
      </c>
      <c r="AD235" s="36">
        <f>IF(AQ235="7",BH235,0)</f>
        <v>0</v>
      </c>
      <c r="AE235" s="36">
        <f>IF(AQ235="7",BI235,0)</f>
        <v>0</v>
      </c>
      <c r="AF235" s="36">
        <f>IF(AQ235="2",BH235,0)</f>
        <v>0</v>
      </c>
      <c r="AG235" s="36">
        <f>IF(AQ235="2",BI235,0)</f>
        <v>0</v>
      </c>
      <c r="AH235" s="36">
        <f>IF(AQ235="0",BJ235,0)</f>
        <v>0</v>
      </c>
      <c r="AI235" s="35" t="s">
        <v>208</v>
      </c>
      <c r="AJ235" s="26">
        <f>IF(AN235=0,N235,0)</f>
        <v>0</v>
      </c>
      <c r="AK235" s="26">
        <f>IF(AN235=15,N235,0)</f>
        <v>0</v>
      </c>
      <c r="AL235" s="26">
        <f>IF(AN235=21,N235,0)</f>
        <v>0</v>
      </c>
      <c r="AN235" s="36">
        <v>21</v>
      </c>
      <c r="AO235" s="36">
        <f>K235*0.154914090007745</f>
        <v>0</v>
      </c>
      <c r="AP235" s="36">
        <f>K235*(1-0.154914090007745)</f>
        <v>0</v>
      </c>
      <c r="AQ235" s="37" t="s">
        <v>13</v>
      </c>
      <c r="AV235" s="36">
        <f>AW235+AX235</f>
        <v>0</v>
      </c>
      <c r="AW235" s="36">
        <f>J235*AO235</f>
        <v>0</v>
      </c>
      <c r="AX235" s="36">
        <f>J235*AP235</f>
        <v>0</v>
      </c>
      <c r="AY235" s="39" t="s">
        <v>498</v>
      </c>
      <c r="AZ235" s="39" t="s">
        <v>512</v>
      </c>
      <c r="BA235" s="35" t="s">
        <v>521</v>
      </c>
      <c r="BC235" s="36">
        <f>AW235+AX235</f>
        <v>0</v>
      </c>
      <c r="BD235" s="36">
        <f>K235/(100-BE235)*100</f>
        <v>0</v>
      </c>
      <c r="BE235" s="36">
        <v>0</v>
      </c>
      <c r="BF235" s="36">
        <f>235</f>
        <v>235</v>
      </c>
      <c r="BH235" s="26">
        <f>J235*AO235</f>
        <v>0</v>
      </c>
      <c r="BI235" s="26">
        <f>J235*AP235</f>
        <v>0</v>
      </c>
      <c r="BJ235" s="26">
        <f>J235*K235</f>
        <v>0</v>
      </c>
      <c r="BK235" s="26" t="s">
        <v>526</v>
      </c>
      <c r="BL235" s="36">
        <v>783</v>
      </c>
    </row>
    <row r="236" spans="1:47" ht="12.75">
      <c r="A236" s="4"/>
      <c r="B236" s="15" t="s">
        <v>208</v>
      </c>
      <c r="C236" s="15" t="s">
        <v>305</v>
      </c>
      <c r="D236" s="129" t="s">
        <v>430</v>
      </c>
      <c r="E236" s="130"/>
      <c r="F236" s="130"/>
      <c r="G236" s="130"/>
      <c r="H236" s="130"/>
      <c r="I236" s="23" t="s">
        <v>6</v>
      </c>
      <c r="J236" s="23" t="s">
        <v>6</v>
      </c>
      <c r="K236" s="23" t="s">
        <v>6</v>
      </c>
      <c r="L236" s="42">
        <f>SUM(L237:L239)</f>
        <v>0</v>
      </c>
      <c r="M236" s="42">
        <f>SUM(M237:M239)</f>
        <v>0</v>
      </c>
      <c r="N236" s="45">
        <f>SUM(N237:N239)</f>
        <v>0</v>
      </c>
      <c r="O236" s="7"/>
      <c r="AI236" s="35" t="s">
        <v>208</v>
      </c>
      <c r="AS236" s="42">
        <f>SUM(AJ237:AJ239)</f>
        <v>0</v>
      </c>
      <c r="AT236" s="42">
        <f>SUM(AK237:AK239)</f>
        <v>0</v>
      </c>
      <c r="AU236" s="42">
        <f>SUM(AL237:AL239)</f>
        <v>0</v>
      </c>
    </row>
    <row r="237" spans="1:64" ht="12.75">
      <c r="A237" s="5" t="s">
        <v>191</v>
      </c>
      <c r="B237" s="16" t="s">
        <v>208</v>
      </c>
      <c r="C237" s="16" t="s">
        <v>306</v>
      </c>
      <c r="D237" s="127" t="s">
        <v>431</v>
      </c>
      <c r="E237" s="128"/>
      <c r="F237" s="128"/>
      <c r="G237" s="128"/>
      <c r="H237" s="128"/>
      <c r="I237" s="16" t="s">
        <v>460</v>
      </c>
      <c r="J237" s="26">
        <v>88.995</v>
      </c>
      <c r="K237" s="26">
        <v>0</v>
      </c>
      <c r="L237" s="26">
        <f>J237*AO237</f>
        <v>0</v>
      </c>
      <c r="M237" s="26">
        <f>J237*AP237</f>
        <v>0</v>
      </c>
      <c r="N237" s="46">
        <f>J237*K237</f>
        <v>0</v>
      </c>
      <c r="O237" s="7"/>
      <c r="Z237" s="36">
        <f>IF(AQ237="5",BJ237,0)</f>
        <v>0</v>
      </c>
      <c r="AB237" s="36">
        <f>IF(AQ237="1",BH237,0)</f>
        <v>0</v>
      </c>
      <c r="AC237" s="36">
        <f>IF(AQ237="1",BI237,0)</f>
        <v>0</v>
      </c>
      <c r="AD237" s="36">
        <f>IF(AQ237="7",BH237,0)</f>
        <v>0</v>
      </c>
      <c r="AE237" s="36">
        <f>IF(AQ237="7",BI237,0)</f>
        <v>0</v>
      </c>
      <c r="AF237" s="36">
        <f>IF(AQ237="2",BH237,0)</f>
        <v>0</v>
      </c>
      <c r="AG237" s="36">
        <f>IF(AQ237="2",BI237,0)</f>
        <v>0</v>
      </c>
      <c r="AH237" s="36">
        <f>IF(AQ237="0",BJ237,0)</f>
        <v>0</v>
      </c>
      <c r="AI237" s="35" t="s">
        <v>208</v>
      </c>
      <c r="AJ237" s="26">
        <f>IF(AN237=0,N237,0)</f>
        <v>0</v>
      </c>
      <c r="AK237" s="26">
        <f>IF(AN237=15,N237,0)</f>
        <v>0</v>
      </c>
      <c r="AL237" s="26">
        <f>IF(AN237=21,N237,0)</f>
        <v>0</v>
      </c>
      <c r="AN237" s="36">
        <v>21</v>
      </c>
      <c r="AO237" s="36">
        <f>K237*0.212094644371011</f>
        <v>0</v>
      </c>
      <c r="AP237" s="36">
        <f>K237*(1-0.212094644371011)</f>
        <v>0</v>
      </c>
      <c r="AQ237" s="37" t="s">
        <v>13</v>
      </c>
      <c r="AV237" s="36">
        <f>AW237+AX237</f>
        <v>0</v>
      </c>
      <c r="AW237" s="36">
        <f>J237*AO237</f>
        <v>0</v>
      </c>
      <c r="AX237" s="36">
        <f>J237*AP237</f>
        <v>0</v>
      </c>
      <c r="AY237" s="39" t="s">
        <v>499</v>
      </c>
      <c r="AZ237" s="39" t="s">
        <v>512</v>
      </c>
      <c r="BA237" s="35" t="s">
        <v>521</v>
      </c>
      <c r="BC237" s="36">
        <f>AW237+AX237</f>
        <v>0</v>
      </c>
      <c r="BD237" s="36">
        <f>K237/(100-BE237)*100</f>
        <v>0</v>
      </c>
      <c r="BE237" s="36">
        <v>0</v>
      </c>
      <c r="BF237" s="36">
        <f>237</f>
        <v>237</v>
      </c>
      <c r="BH237" s="26">
        <f>J237*AO237</f>
        <v>0</v>
      </c>
      <c r="BI237" s="26">
        <f>J237*AP237</f>
        <v>0</v>
      </c>
      <c r="BJ237" s="26">
        <f>J237*K237</f>
        <v>0</v>
      </c>
      <c r="BK237" s="26" t="s">
        <v>526</v>
      </c>
      <c r="BL237" s="36">
        <v>784</v>
      </c>
    </row>
    <row r="238" spans="1:64" ht="12.75">
      <c r="A238" s="5" t="s">
        <v>192</v>
      </c>
      <c r="B238" s="16" t="s">
        <v>208</v>
      </c>
      <c r="C238" s="16" t="s">
        <v>307</v>
      </c>
      <c r="D238" s="127" t="s">
        <v>432</v>
      </c>
      <c r="E238" s="128"/>
      <c r="F238" s="128"/>
      <c r="G238" s="128"/>
      <c r="H238" s="128"/>
      <c r="I238" s="16" t="s">
        <v>460</v>
      </c>
      <c r="J238" s="26">
        <v>8.946</v>
      </c>
      <c r="K238" s="26">
        <v>0</v>
      </c>
      <c r="L238" s="26">
        <f>J238*AO238</f>
        <v>0</v>
      </c>
      <c r="M238" s="26">
        <f>J238*AP238</f>
        <v>0</v>
      </c>
      <c r="N238" s="46">
        <f>J238*K238</f>
        <v>0</v>
      </c>
      <c r="O238" s="7"/>
      <c r="Z238" s="36">
        <f>IF(AQ238="5",BJ238,0)</f>
        <v>0</v>
      </c>
      <c r="AB238" s="36">
        <f>IF(AQ238="1",BH238,0)</f>
        <v>0</v>
      </c>
      <c r="AC238" s="36">
        <f>IF(AQ238="1",BI238,0)</f>
        <v>0</v>
      </c>
      <c r="AD238" s="36">
        <f>IF(AQ238="7",BH238,0)</f>
        <v>0</v>
      </c>
      <c r="AE238" s="36">
        <f>IF(AQ238="7",BI238,0)</f>
        <v>0</v>
      </c>
      <c r="AF238" s="36">
        <f>IF(AQ238="2",BH238,0)</f>
        <v>0</v>
      </c>
      <c r="AG238" s="36">
        <f>IF(AQ238="2",BI238,0)</f>
        <v>0</v>
      </c>
      <c r="AH238" s="36">
        <f>IF(AQ238="0",BJ238,0)</f>
        <v>0</v>
      </c>
      <c r="AI238" s="35" t="s">
        <v>208</v>
      </c>
      <c r="AJ238" s="26">
        <f>IF(AN238=0,N238,0)</f>
        <v>0</v>
      </c>
      <c r="AK238" s="26">
        <f>IF(AN238=15,N238,0)</f>
        <v>0</v>
      </c>
      <c r="AL238" s="26">
        <f>IF(AN238=21,N238,0)</f>
        <v>0</v>
      </c>
      <c r="AN238" s="36">
        <v>21</v>
      </c>
      <c r="AO238" s="36">
        <f>K238*0.00812977099236641</f>
        <v>0</v>
      </c>
      <c r="AP238" s="36">
        <f>K238*(1-0.00812977099236641)</f>
        <v>0</v>
      </c>
      <c r="AQ238" s="37" t="s">
        <v>13</v>
      </c>
      <c r="AV238" s="36">
        <f>AW238+AX238</f>
        <v>0</v>
      </c>
      <c r="AW238" s="36">
        <f>J238*AO238</f>
        <v>0</v>
      </c>
      <c r="AX238" s="36">
        <f>J238*AP238</f>
        <v>0</v>
      </c>
      <c r="AY238" s="39" t="s">
        <v>499</v>
      </c>
      <c r="AZ238" s="39" t="s">
        <v>512</v>
      </c>
      <c r="BA238" s="35" t="s">
        <v>521</v>
      </c>
      <c r="BC238" s="36">
        <f>AW238+AX238</f>
        <v>0</v>
      </c>
      <c r="BD238" s="36">
        <f>K238/(100-BE238)*100</f>
        <v>0</v>
      </c>
      <c r="BE238" s="36">
        <v>0</v>
      </c>
      <c r="BF238" s="36">
        <f>238</f>
        <v>238</v>
      </c>
      <c r="BH238" s="26">
        <f>J238*AO238</f>
        <v>0</v>
      </c>
      <c r="BI238" s="26">
        <f>J238*AP238</f>
        <v>0</v>
      </c>
      <c r="BJ238" s="26">
        <f>J238*K238</f>
        <v>0</v>
      </c>
      <c r="BK238" s="26" t="s">
        <v>526</v>
      </c>
      <c r="BL238" s="36">
        <v>784</v>
      </c>
    </row>
    <row r="239" spans="1:64" ht="12.75">
      <c r="A239" s="5" t="s">
        <v>193</v>
      </c>
      <c r="B239" s="16" t="s">
        <v>208</v>
      </c>
      <c r="C239" s="16" t="s">
        <v>308</v>
      </c>
      <c r="D239" s="127" t="s">
        <v>433</v>
      </c>
      <c r="E239" s="128"/>
      <c r="F239" s="128"/>
      <c r="G239" s="128"/>
      <c r="H239" s="128"/>
      <c r="I239" s="16" t="s">
        <v>460</v>
      </c>
      <c r="J239" s="26">
        <v>135.39</v>
      </c>
      <c r="K239" s="26">
        <v>0</v>
      </c>
      <c r="L239" s="26">
        <f>J239*AO239</f>
        <v>0</v>
      </c>
      <c r="M239" s="26">
        <f>J239*AP239</f>
        <v>0</v>
      </c>
      <c r="N239" s="46">
        <f>J239*K239</f>
        <v>0</v>
      </c>
      <c r="O239" s="7"/>
      <c r="Z239" s="36">
        <f>IF(AQ239="5",BJ239,0)</f>
        <v>0</v>
      </c>
      <c r="AB239" s="36">
        <f>IF(AQ239="1",BH239,0)</f>
        <v>0</v>
      </c>
      <c r="AC239" s="36">
        <f>IF(AQ239="1",BI239,0)</f>
        <v>0</v>
      </c>
      <c r="AD239" s="36">
        <f>IF(AQ239="7",BH239,0)</f>
        <v>0</v>
      </c>
      <c r="AE239" s="36">
        <f>IF(AQ239="7",BI239,0)</f>
        <v>0</v>
      </c>
      <c r="AF239" s="36">
        <f>IF(AQ239="2",BH239,0)</f>
        <v>0</v>
      </c>
      <c r="AG239" s="36">
        <f>IF(AQ239="2",BI239,0)</f>
        <v>0</v>
      </c>
      <c r="AH239" s="36">
        <f>IF(AQ239="0",BJ239,0)</f>
        <v>0</v>
      </c>
      <c r="AI239" s="35" t="s">
        <v>208</v>
      </c>
      <c r="AJ239" s="26">
        <f>IF(AN239=0,N239,0)</f>
        <v>0</v>
      </c>
      <c r="AK239" s="26">
        <f>IF(AN239=15,N239,0)</f>
        <v>0</v>
      </c>
      <c r="AL239" s="26">
        <f>IF(AN239=21,N239,0)</f>
        <v>0</v>
      </c>
      <c r="AN239" s="36">
        <v>21</v>
      </c>
      <c r="AO239" s="36">
        <f>K239*0</f>
        <v>0</v>
      </c>
      <c r="AP239" s="36">
        <f>K239*(1-0)</f>
        <v>0</v>
      </c>
      <c r="AQ239" s="37" t="s">
        <v>13</v>
      </c>
      <c r="AV239" s="36">
        <f>AW239+AX239</f>
        <v>0</v>
      </c>
      <c r="AW239" s="36">
        <f>J239*AO239</f>
        <v>0</v>
      </c>
      <c r="AX239" s="36">
        <f>J239*AP239</f>
        <v>0</v>
      </c>
      <c r="AY239" s="39" t="s">
        <v>499</v>
      </c>
      <c r="AZ239" s="39" t="s">
        <v>512</v>
      </c>
      <c r="BA239" s="35" t="s">
        <v>521</v>
      </c>
      <c r="BC239" s="36">
        <f>AW239+AX239</f>
        <v>0</v>
      </c>
      <c r="BD239" s="36">
        <f>K239/(100-BE239)*100</f>
        <v>0</v>
      </c>
      <c r="BE239" s="36">
        <v>0</v>
      </c>
      <c r="BF239" s="36">
        <f>239</f>
        <v>239</v>
      </c>
      <c r="BH239" s="26">
        <f>J239*AO239</f>
        <v>0</v>
      </c>
      <c r="BI239" s="26">
        <f>J239*AP239</f>
        <v>0</v>
      </c>
      <c r="BJ239" s="26">
        <f>J239*K239</f>
        <v>0</v>
      </c>
      <c r="BK239" s="26" t="s">
        <v>526</v>
      </c>
      <c r="BL239" s="36">
        <v>784</v>
      </c>
    </row>
    <row r="240" spans="1:47" ht="12.75">
      <c r="A240" s="4"/>
      <c r="B240" s="15" t="s">
        <v>208</v>
      </c>
      <c r="C240" s="15" t="s">
        <v>100</v>
      </c>
      <c r="D240" s="129" t="s">
        <v>434</v>
      </c>
      <c r="E240" s="130"/>
      <c r="F240" s="130"/>
      <c r="G240" s="130"/>
      <c r="H240" s="130"/>
      <c r="I240" s="23" t="s">
        <v>6</v>
      </c>
      <c r="J240" s="23" t="s">
        <v>6</v>
      </c>
      <c r="K240" s="23" t="s">
        <v>6</v>
      </c>
      <c r="L240" s="42">
        <f>SUM(L241:L241)</f>
        <v>0</v>
      </c>
      <c r="M240" s="42">
        <f>SUM(M241:M241)</f>
        <v>0</v>
      </c>
      <c r="N240" s="45">
        <f>SUM(N241:N241)</f>
        <v>0</v>
      </c>
      <c r="O240" s="7"/>
      <c r="AI240" s="35" t="s">
        <v>208</v>
      </c>
      <c r="AS240" s="42">
        <f>SUM(AJ241:AJ241)</f>
        <v>0</v>
      </c>
      <c r="AT240" s="42">
        <f>SUM(AK241:AK241)</f>
        <v>0</v>
      </c>
      <c r="AU240" s="42">
        <f>SUM(AL241:AL241)</f>
        <v>0</v>
      </c>
    </row>
    <row r="241" spans="1:64" ht="12.75">
      <c r="A241" s="5" t="s">
        <v>194</v>
      </c>
      <c r="B241" s="16" t="s">
        <v>208</v>
      </c>
      <c r="C241" s="16" t="s">
        <v>309</v>
      </c>
      <c r="D241" s="127" t="s">
        <v>435</v>
      </c>
      <c r="E241" s="128"/>
      <c r="F241" s="128"/>
      <c r="G241" s="128"/>
      <c r="H241" s="128"/>
      <c r="I241" s="16" t="s">
        <v>460</v>
      </c>
      <c r="J241" s="26">
        <v>20.31</v>
      </c>
      <c r="K241" s="26">
        <v>0</v>
      </c>
      <c r="L241" s="26">
        <f>J241*AO241</f>
        <v>0</v>
      </c>
      <c r="M241" s="26">
        <f>J241*AP241</f>
        <v>0</v>
      </c>
      <c r="N241" s="46">
        <f>J241*K241</f>
        <v>0</v>
      </c>
      <c r="O241" s="7"/>
      <c r="Z241" s="36">
        <f>IF(AQ241="5",BJ241,0)</f>
        <v>0</v>
      </c>
      <c r="AB241" s="36">
        <f>IF(AQ241="1",BH241,0)</f>
        <v>0</v>
      </c>
      <c r="AC241" s="36">
        <f>IF(AQ241="1",BI241,0)</f>
        <v>0</v>
      </c>
      <c r="AD241" s="36">
        <f>IF(AQ241="7",BH241,0)</f>
        <v>0</v>
      </c>
      <c r="AE241" s="36">
        <f>IF(AQ241="7",BI241,0)</f>
        <v>0</v>
      </c>
      <c r="AF241" s="36">
        <f>IF(AQ241="2",BH241,0)</f>
        <v>0</v>
      </c>
      <c r="AG241" s="36">
        <f>IF(AQ241="2",BI241,0)</f>
        <v>0</v>
      </c>
      <c r="AH241" s="36">
        <f>IF(AQ241="0",BJ241,0)</f>
        <v>0</v>
      </c>
      <c r="AI241" s="35" t="s">
        <v>208</v>
      </c>
      <c r="AJ241" s="26">
        <f>IF(AN241=0,N241,0)</f>
        <v>0</v>
      </c>
      <c r="AK241" s="26">
        <f>IF(AN241=15,N241,0)</f>
        <v>0</v>
      </c>
      <c r="AL241" s="26">
        <f>IF(AN241=21,N241,0)</f>
        <v>0</v>
      </c>
      <c r="AN241" s="36">
        <v>21</v>
      </c>
      <c r="AO241" s="36">
        <f>K241*0.34824266625296</f>
        <v>0</v>
      </c>
      <c r="AP241" s="36">
        <f>K241*(1-0.34824266625296)</f>
        <v>0</v>
      </c>
      <c r="AQ241" s="37" t="s">
        <v>7</v>
      </c>
      <c r="AV241" s="36">
        <f>AW241+AX241</f>
        <v>0</v>
      </c>
      <c r="AW241" s="36">
        <f>J241*AO241</f>
        <v>0</v>
      </c>
      <c r="AX241" s="36">
        <f>J241*AP241</f>
        <v>0</v>
      </c>
      <c r="AY241" s="39" t="s">
        <v>500</v>
      </c>
      <c r="AZ241" s="39" t="s">
        <v>519</v>
      </c>
      <c r="BA241" s="35" t="s">
        <v>521</v>
      </c>
      <c r="BC241" s="36">
        <f>AW241+AX241</f>
        <v>0</v>
      </c>
      <c r="BD241" s="36">
        <f>K241/(100-BE241)*100</f>
        <v>0</v>
      </c>
      <c r="BE241" s="36">
        <v>0</v>
      </c>
      <c r="BF241" s="36">
        <f>241</f>
        <v>241</v>
      </c>
      <c r="BH241" s="26">
        <f>J241*AO241</f>
        <v>0</v>
      </c>
      <c r="BI241" s="26">
        <f>J241*AP241</f>
        <v>0</v>
      </c>
      <c r="BJ241" s="26">
        <f>J241*K241</f>
        <v>0</v>
      </c>
      <c r="BK241" s="26" t="s">
        <v>526</v>
      </c>
      <c r="BL241" s="36">
        <v>94</v>
      </c>
    </row>
    <row r="242" spans="1:47" ht="12.75">
      <c r="A242" s="4"/>
      <c r="B242" s="15" t="s">
        <v>208</v>
      </c>
      <c r="C242" s="15" t="s">
        <v>101</v>
      </c>
      <c r="D242" s="129" t="s">
        <v>436</v>
      </c>
      <c r="E242" s="130"/>
      <c r="F242" s="130"/>
      <c r="G242" s="130"/>
      <c r="H242" s="130"/>
      <c r="I242" s="23" t="s">
        <v>6</v>
      </c>
      <c r="J242" s="23" t="s">
        <v>6</v>
      </c>
      <c r="K242" s="23" t="s">
        <v>6</v>
      </c>
      <c r="L242" s="42">
        <f>SUM(L243:L243)</f>
        <v>0</v>
      </c>
      <c r="M242" s="42">
        <f>SUM(M243:M243)</f>
        <v>0</v>
      </c>
      <c r="N242" s="45">
        <f>SUM(N243:N243)</f>
        <v>0</v>
      </c>
      <c r="O242" s="7"/>
      <c r="AI242" s="35" t="s">
        <v>208</v>
      </c>
      <c r="AS242" s="42">
        <f>SUM(AJ243:AJ243)</f>
        <v>0</v>
      </c>
      <c r="AT242" s="42">
        <f>SUM(AK243:AK243)</f>
        <v>0</v>
      </c>
      <c r="AU242" s="42">
        <f>SUM(AL243:AL243)</f>
        <v>0</v>
      </c>
    </row>
    <row r="243" spans="1:64" ht="12.75">
      <c r="A243" s="5" t="s">
        <v>195</v>
      </c>
      <c r="B243" s="16" t="s">
        <v>208</v>
      </c>
      <c r="C243" s="16" t="s">
        <v>310</v>
      </c>
      <c r="D243" s="127" t="s">
        <v>437</v>
      </c>
      <c r="E243" s="128"/>
      <c r="F243" s="128"/>
      <c r="G243" s="128"/>
      <c r="H243" s="128"/>
      <c r="I243" s="16" t="s">
        <v>460</v>
      </c>
      <c r="J243" s="26">
        <v>20.31</v>
      </c>
      <c r="K243" s="26">
        <v>0</v>
      </c>
      <c r="L243" s="26">
        <f>J243*AO243</f>
        <v>0</v>
      </c>
      <c r="M243" s="26">
        <f>J243*AP243</f>
        <v>0</v>
      </c>
      <c r="N243" s="46">
        <f>J243*K243</f>
        <v>0</v>
      </c>
      <c r="O243" s="7"/>
      <c r="Z243" s="36">
        <f>IF(AQ243="5",BJ243,0)</f>
        <v>0</v>
      </c>
      <c r="AB243" s="36">
        <f>IF(AQ243="1",BH243,0)</f>
        <v>0</v>
      </c>
      <c r="AC243" s="36">
        <f>IF(AQ243="1",BI243,0)</f>
        <v>0</v>
      </c>
      <c r="AD243" s="36">
        <f>IF(AQ243="7",BH243,0)</f>
        <v>0</v>
      </c>
      <c r="AE243" s="36">
        <f>IF(AQ243="7",BI243,0)</f>
        <v>0</v>
      </c>
      <c r="AF243" s="36">
        <f>IF(AQ243="2",BH243,0)</f>
        <v>0</v>
      </c>
      <c r="AG243" s="36">
        <f>IF(AQ243="2",BI243,0)</f>
        <v>0</v>
      </c>
      <c r="AH243" s="36">
        <f>IF(AQ243="0",BJ243,0)</f>
        <v>0</v>
      </c>
      <c r="AI243" s="35" t="s">
        <v>208</v>
      </c>
      <c r="AJ243" s="26">
        <f>IF(AN243=0,N243,0)</f>
        <v>0</v>
      </c>
      <c r="AK243" s="26">
        <f>IF(AN243=15,N243,0)</f>
        <v>0</v>
      </c>
      <c r="AL243" s="26">
        <f>IF(AN243=21,N243,0)</f>
        <v>0</v>
      </c>
      <c r="AN243" s="36">
        <v>21</v>
      </c>
      <c r="AO243" s="36">
        <f>K243*0.0105119277278502</f>
        <v>0</v>
      </c>
      <c r="AP243" s="36">
        <f>K243*(1-0.0105119277278502)</f>
        <v>0</v>
      </c>
      <c r="AQ243" s="37" t="s">
        <v>7</v>
      </c>
      <c r="AV243" s="36">
        <f>AW243+AX243</f>
        <v>0</v>
      </c>
      <c r="AW243" s="36">
        <f>J243*AO243</f>
        <v>0</v>
      </c>
      <c r="AX243" s="36">
        <f>J243*AP243</f>
        <v>0</v>
      </c>
      <c r="AY243" s="39" t="s">
        <v>501</v>
      </c>
      <c r="AZ243" s="39" t="s">
        <v>519</v>
      </c>
      <c r="BA243" s="35" t="s">
        <v>521</v>
      </c>
      <c r="BC243" s="36">
        <f>AW243+AX243</f>
        <v>0</v>
      </c>
      <c r="BD243" s="36">
        <f>K243/(100-BE243)*100</f>
        <v>0</v>
      </c>
      <c r="BE243" s="36">
        <v>0</v>
      </c>
      <c r="BF243" s="36">
        <f>243</f>
        <v>243</v>
      </c>
      <c r="BH243" s="26">
        <f>J243*AO243</f>
        <v>0</v>
      </c>
      <c r="BI243" s="26">
        <f>J243*AP243</f>
        <v>0</v>
      </c>
      <c r="BJ243" s="26">
        <f>J243*K243</f>
        <v>0</v>
      </c>
      <c r="BK243" s="26" t="s">
        <v>526</v>
      </c>
      <c r="BL243" s="36">
        <v>95</v>
      </c>
    </row>
    <row r="244" spans="1:47" ht="12.75">
      <c r="A244" s="4"/>
      <c r="B244" s="15" t="s">
        <v>208</v>
      </c>
      <c r="C244" s="15" t="s">
        <v>311</v>
      </c>
      <c r="D244" s="129" t="s">
        <v>438</v>
      </c>
      <c r="E244" s="130"/>
      <c r="F244" s="130"/>
      <c r="G244" s="130"/>
      <c r="H244" s="130"/>
      <c r="I244" s="23" t="s">
        <v>6</v>
      </c>
      <c r="J244" s="23" t="s">
        <v>6</v>
      </c>
      <c r="K244" s="23" t="s">
        <v>6</v>
      </c>
      <c r="L244" s="42">
        <f>SUM(L245:L252)</f>
        <v>0</v>
      </c>
      <c r="M244" s="42">
        <f>SUM(M245:M252)</f>
        <v>0</v>
      </c>
      <c r="N244" s="45">
        <f>SUM(N245:N252)</f>
        <v>0</v>
      </c>
      <c r="O244" s="7"/>
      <c r="AI244" s="35" t="s">
        <v>208</v>
      </c>
      <c r="AS244" s="42">
        <f>SUM(AJ245:AJ252)</f>
        <v>0</v>
      </c>
      <c r="AT244" s="42">
        <f>SUM(AK245:AK252)</f>
        <v>0</v>
      </c>
      <c r="AU244" s="42">
        <f>SUM(AL245:AL252)</f>
        <v>0</v>
      </c>
    </row>
    <row r="245" spans="1:64" ht="12.75">
      <c r="A245" s="5" t="s">
        <v>196</v>
      </c>
      <c r="B245" s="16" t="s">
        <v>208</v>
      </c>
      <c r="C245" s="16" t="s">
        <v>312</v>
      </c>
      <c r="D245" s="127" t="s">
        <v>439</v>
      </c>
      <c r="E245" s="128"/>
      <c r="F245" s="128"/>
      <c r="G245" s="128"/>
      <c r="H245" s="128"/>
      <c r="I245" s="16" t="s">
        <v>463</v>
      </c>
      <c r="J245" s="26">
        <v>10</v>
      </c>
      <c r="K245" s="26">
        <v>0</v>
      </c>
      <c r="L245" s="26">
        <f aca="true" t="shared" si="332" ref="L245:L252">J245*AO245</f>
        <v>0</v>
      </c>
      <c r="M245" s="26">
        <f aca="true" t="shared" si="333" ref="M245:M252">J245*AP245</f>
        <v>0</v>
      </c>
      <c r="N245" s="46">
        <f aca="true" t="shared" si="334" ref="N245:N252">J245*K245</f>
        <v>0</v>
      </c>
      <c r="O245" s="7"/>
      <c r="Z245" s="36">
        <f aca="true" t="shared" si="335" ref="Z245:Z252">IF(AQ245="5",BJ245,0)</f>
        <v>0</v>
      </c>
      <c r="AB245" s="36">
        <f aca="true" t="shared" si="336" ref="AB245:AB252">IF(AQ245="1",BH245,0)</f>
        <v>0</v>
      </c>
      <c r="AC245" s="36">
        <f aca="true" t="shared" si="337" ref="AC245:AC252">IF(AQ245="1",BI245,0)</f>
        <v>0</v>
      </c>
      <c r="AD245" s="36">
        <f aca="true" t="shared" si="338" ref="AD245:AD252">IF(AQ245="7",BH245,0)</f>
        <v>0</v>
      </c>
      <c r="AE245" s="36">
        <f aca="true" t="shared" si="339" ref="AE245:AE252">IF(AQ245="7",BI245,0)</f>
        <v>0</v>
      </c>
      <c r="AF245" s="36">
        <f aca="true" t="shared" si="340" ref="AF245:AF252">IF(AQ245="2",BH245,0)</f>
        <v>0</v>
      </c>
      <c r="AG245" s="36">
        <f aca="true" t="shared" si="341" ref="AG245:AG252">IF(AQ245="2",BI245,0)</f>
        <v>0</v>
      </c>
      <c r="AH245" s="36">
        <f aca="true" t="shared" si="342" ref="AH245:AH252">IF(AQ245="0",BJ245,0)</f>
        <v>0</v>
      </c>
      <c r="AI245" s="35" t="s">
        <v>208</v>
      </c>
      <c r="AJ245" s="26">
        <f aca="true" t="shared" si="343" ref="AJ245:AJ252">IF(AN245=0,N245,0)</f>
        <v>0</v>
      </c>
      <c r="AK245" s="26">
        <f aca="true" t="shared" si="344" ref="AK245:AK252">IF(AN245=15,N245,0)</f>
        <v>0</v>
      </c>
      <c r="AL245" s="26">
        <f aca="true" t="shared" si="345" ref="AL245:AL252">IF(AN245=21,N245,0)</f>
        <v>0</v>
      </c>
      <c r="AN245" s="36">
        <v>21</v>
      </c>
      <c r="AO245" s="36">
        <f aca="true" t="shared" si="346" ref="AO245:AO252">K245*0</f>
        <v>0</v>
      </c>
      <c r="AP245" s="36">
        <f aca="true" t="shared" si="347" ref="AP245:AP252">K245*(1-0)</f>
        <v>0</v>
      </c>
      <c r="AQ245" s="37" t="s">
        <v>11</v>
      </c>
      <c r="AV245" s="36">
        <f aca="true" t="shared" si="348" ref="AV245:AV252">AW245+AX245</f>
        <v>0</v>
      </c>
      <c r="AW245" s="36">
        <f aca="true" t="shared" si="349" ref="AW245:AW252">J245*AO245</f>
        <v>0</v>
      </c>
      <c r="AX245" s="36">
        <f aca="true" t="shared" si="350" ref="AX245:AX252">J245*AP245</f>
        <v>0</v>
      </c>
      <c r="AY245" s="39" t="s">
        <v>502</v>
      </c>
      <c r="AZ245" s="39" t="s">
        <v>519</v>
      </c>
      <c r="BA245" s="35" t="s">
        <v>521</v>
      </c>
      <c r="BC245" s="36">
        <f aca="true" t="shared" si="351" ref="BC245:BC252">AW245+AX245</f>
        <v>0</v>
      </c>
      <c r="BD245" s="36">
        <f aca="true" t="shared" si="352" ref="BD245:BD252">K245/(100-BE245)*100</f>
        <v>0</v>
      </c>
      <c r="BE245" s="36">
        <v>0</v>
      </c>
      <c r="BF245" s="36">
        <f>245</f>
        <v>245</v>
      </c>
      <c r="BH245" s="26">
        <f aca="true" t="shared" si="353" ref="BH245:BH252">J245*AO245</f>
        <v>0</v>
      </c>
      <c r="BI245" s="26">
        <f aca="true" t="shared" si="354" ref="BI245:BI252">J245*AP245</f>
        <v>0</v>
      </c>
      <c r="BJ245" s="26">
        <f aca="true" t="shared" si="355" ref="BJ245:BJ252">J245*K245</f>
        <v>0</v>
      </c>
      <c r="BK245" s="26" t="s">
        <v>526</v>
      </c>
      <c r="BL245" s="36" t="s">
        <v>311</v>
      </c>
    </row>
    <row r="246" spans="1:64" ht="12.75">
      <c r="A246" s="5" t="s">
        <v>197</v>
      </c>
      <c r="B246" s="16" t="s">
        <v>208</v>
      </c>
      <c r="C246" s="16" t="s">
        <v>313</v>
      </c>
      <c r="D246" s="127" t="s">
        <v>440</v>
      </c>
      <c r="E246" s="128"/>
      <c r="F246" s="128"/>
      <c r="G246" s="128"/>
      <c r="H246" s="128"/>
      <c r="I246" s="16" t="s">
        <v>463</v>
      </c>
      <c r="J246" s="26">
        <v>20</v>
      </c>
      <c r="K246" s="26">
        <v>0</v>
      </c>
      <c r="L246" s="26">
        <f t="shared" si="332"/>
        <v>0</v>
      </c>
      <c r="M246" s="26">
        <f t="shared" si="333"/>
        <v>0</v>
      </c>
      <c r="N246" s="46">
        <f t="shared" si="334"/>
        <v>0</v>
      </c>
      <c r="O246" s="7"/>
      <c r="Z246" s="36">
        <f t="shared" si="335"/>
        <v>0</v>
      </c>
      <c r="AB246" s="36">
        <f t="shared" si="336"/>
        <v>0</v>
      </c>
      <c r="AC246" s="36">
        <f t="shared" si="337"/>
        <v>0</v>
      </c>
      <c r="AD246" s="36">
        <f t="shared" si="338"/>
        <v>0</v>
      </c>
      <c r="AE246" s="36">
        <f t="shared" si="339"/>
        <v>0</v>
      </c>
      <c r="AF246" s="36">
        <f t="shared" si="340"/>
        <v>0</v>
      </c>
      <c r="AG246" s="36">
        <f t="shared" si="341"/>
        <v>0</v>
      </c>
      <c r="AH246" s="36">
        <f t="shared" si="342"/>
        <v>0</v>
      </c>
      <c r="AI246" s="35" t="s">
        <v>208</v>
      </c>
      <c r="AJ246" s="26">
        <f t="shared" si="343"/>
        <v>0</v>
      </c>
      <c r="AK246" s="26">
        <f t="shared" si="344"/>
        <v>0</v>
      </c>
      <c r="AL246" s="26">
        <f t="shared" si="345"/>
        <v>0</v>
      </c>
      <c r="AN246" s="36">
        <v>21</v>
      </c>
      <c r="AO246" s="36">
        <f t="shared" si="346"/>
        <v>0</v>
      </c>
      <c r="AP246" s="36">
        <f t="shared" si="347"/>
        <v>0</v>
      </c>
      <c r="AQ246" s="37" t="s">
        <v>11</v>
      </c>
      <c r="AV246" s="36">
        <f t="shared" si="348"/>
        <v>0</v>
      </c>
      <c r="AW246" s="36">
        <f t="shared" si="349"/>
        <v>0</v>
      </c>
      <c r="AX246" s="36">
        <f t="shared" si="350"/>
        <v>0</v>
      </c>
      <c r="AY246" s="39" t="s">
        <v>502</v>
      </c>
      <c r="AZ246" s="39" t="s">
        <v>519</v>
      </c>
      <c r="BA246" s="35" t="s">
        <v>521</v>
      </c>
      <c r="BC246" s="36">
        <f t="shared" si="351"/>
        <v>0</v>
      </c>
      <c r="BD246" s="36">
        <f t="shared" si="352"/>
        <v>0</v>
      </c>
      <c r="BE246" s="36">
        <v>0</v>
      </c>
      <c r="BF246" s="36">
        <f>246</f>
        <v>246</v>
      </c>
      <c r="BH246" s="26">
        <f t="shared" si="353"/>
        <v>0</v>
      </c>
      <c r="BI246" s="26">
        <f t="shared" si="354"/>
        <v>0</v>
      </c>
      <c r="BJ246" s="26">
        <f t="shared" si="355"/>
        <v>0</v>
      </c>
      <c r="BK246" s="26" t="s">
        <v>526</v>
      </c>
      <c r="BL246" s="36" t="s">
        <v>311</v>
      </c>
    </row>
    <row r="247" spans="1:64" ht="12.75">
      <c r="A247" s="5" t="s">
        <v>198</v>
      </c>
      <c r="B247" s="16" t="s">
        <v>208</v>
      </c>
      <c r="C247" s="16" t="s">
        <v>314</v>
      </c>
      <c r="D247" s="127" t="s">
        <v>441</v>
      </c>
      <c r="E247" s="128"/>
      <c r="F247" s="128"/>
      <c r="G247" s="128"/>
      <c r="H247" s="128"/>
      <c r="I247" s="16" t="s">
        <v>463</v>
      </c>
      <c r="J247" s="26">
        <v>10</v>
      </c>
      <c r="K247" s="26">
        <v>0</v>
      </c>
      <c r="L247" s="26">
        <f t="shared" si="332"/>
        <v>0</v>
      </c>
      <c r="M247" s="26">
        <f t="shared" si="333"/>
        <v>0</v>
      </c>
      <c r="N247" s="46">
        <f t="shared" si="334"/>
        <v>0</v>
      </c>
      <c r="O247" s="7"/>
      <c r="Z247" s="36">
        <f t="shared" si="335"/>
        <v>0</v>
      </c>
      <c r="AB247" s="36">
        <f t="shared" si="336"/>
        <v>0</v>
      </c>
      <c r="AC247" s="36">
        <f t="shared" si="337"/>
        <v>0</v>
      </c>
      <c r="AD247" s="36">
        <f t="shared" si="338"/>
        <v>0</v>
      </c>
      <c r="AE247" s="36">
        <f t="shared" si="339"/>
        <v>0</v>
      </c>
      <c r="AF247" s="36">
        <f t="shared" si="340"/>
        <v>0</v>
      </c>
      <c r="AG247" s="36">
        <f t="shared" si="341"/>
        <v>0</v>
      </c>
      <c r="AH247" s="36">
        <f t="shared" si="342"/>
        <v>0</v>
      </c>
      <c r="AI247" s="35" t="s">
        <v>208</v>
      </c>
      <c r="AJ247" s="26">
        <f t="shared" si="343"/>
        <v>0</v>
      </c>
      <c r="AK247" s="26">
        <f t="shared" si="344"/>
        <v>0</v>
      </c>
      <c r="AL247" s="26">
        <f t="shared" si="345"/>
        <v>0</v>
      </c>
      <c r="AN247" s="36">
        <v>21</v>
      </c>
      <c r="AO247" s="36">
        <f t="shared" si="346"/>
        <v>0</v>
      </c>
      <c r="AP247" s="36">
        <f t="shared" si="347"/>
        <v>0</v>
      </c>
      <c r="AQ247" s="37" t="s">
        <v>11</v>
      </c>
      <c r="AV247" s="36">
        <f t="shared" si="348"/>
        <v>0</v>
      </c>
      <c r="AW247" s="36">
        <f t="shared" si="349"/>
        <v>0</v>
      </c>
      <c r="AX247" s="36">
        <f t="shared" si="350"/>
        <v>0</v>
      </c>
      <c r="AY247" s="39" t="s">
        <v>502</v>
      </c>
      <c r="AZ247" s="39" t="s">
        <v>519</v>
      </c>
      <c r="BA247" s="35" t="s">
        <v>521</v>
      </c>
      <c r="BC247" s="36">
        <f t="shared" si="351"/>
        <v>0</v>
      </c>
      <c r="BD247" s="36">
        <f t="shared" si="352"/>
        <v>0</v>
      </c>
      <c r="BE247" s="36">
        <v>0</v>
      </c>
      <c r="BF247" s="36">
        <f>247</f>
        <v>247</v>
      </c>
      <c r="BH247" s="26">
        <f t="shared" si="353"/>
        <v>0</v>
      </c>
      <c r="BI247" s="26">
        <f t="shared" si="354"/>
        <v>0</v>
      </c>
      <c r="BJ247" s="26">
        <f t="shared" si="355"/>
        <v>0</v>
      </c>
      <c r="BK247" s="26" t="s">
        <v>526</v>
      </c>
      <c r="BL247" s="36" t="s">
        <v>311</v>
      </c>
    </row>
    <row r="248" spans="1:64" ht="12.75">
      <c r="A248" s="5" t="s">
        <v>199</v>
      </c>
      <c r="B248" s="16" t="s">
        <v>208</v>
      </c>
      <c r="C248" s="16" t="s">
        <v>315</v>
      </c>
      <c r="D248" s="127" t="s">
        <v>442</v>
      </c>
      <c r="E248" s="128"/>
      <c r="F248" s="128"/>
      <c r="G248" s="128"/>
      <c r="H248" s="128"/>
      <c r="I248" s="16" t="s">
        <v>463</v>
      </c>
      <c r="J248" s="26">
        <v>10</v>
      </c>
      <c r="K248" s="26">
        <v>0</v>
      </c>
      <c r="L248" s="26">
        <f t="shared" si="332"/>
        <v>0</v>
      </c>
      <c r="M248" s="26">
        <f t="shared" si="333"/>
        <v>0</v>
      </c>
      <c r="N248" s="46">
        <f t="shared" si="334"/>
        <v>0</v>
      </c>
      <c r="O248" s="7"/>
      <c r="Z248" s="36">
        <f t="shared" si="335"/>
        <v>0</v>
      </c>
      <c r="AB248" s="36">
        <f t="shared" si="336"/>
        <v>0</v>
      </c>
      <c r="AC248" s="36">
        <f t="shared" si="337"/>
        <v>0</v>
      </c>
      <c r="AD248" s="36">
        <f t="shared" si="338"/>
        <v>0</v>
      </c>
      <c r="AE248" s="36">
        <f t="shared" si="339"/>
        <v>0</v>
      </c>
      <c r="AF248" s="36">
        <f t="shared" si="340"/>
        <v>0</v>
      </c>
      <c r="AG248" s="36">
        <f t="shared" si="341"/>
        <v>0</v>
      </c>
      <c r="AH248" s="36">
        <f t="shared" si="342"/>
        <v>0</v>
      </c>
      <c r="AI248" s="35" t="s">
        <v>208</v>
      </c>
      <c r="AJ248" s="26">
        <f t="shared" si="343"/>
        <v>0</v>
      </c>
      <c r="AK248" s="26">
        <f t="shared" si="344"/>
        <v>0</v>
      </c>
      <c r="AL248" s="26">
        <f t="shared" si="345"/>
        <v>0</v>
      </c>
      <c r="AN248" s="36">
        <v>21</v>
      </c>
      <c r="AO248" s="36">
        <f t="shared" si="346"/>
        <v>0</v>
      </c>
      <c r="AP248" s="36">
        <f t="shared" si="347"/>
        <v>0</v>
      </c>
      <c r="AQ248" s="37" t="s">
        <v>11</v>
      </c>
      <c r="AV248" s="36">
        <f t="shared" si="348"/>
        <v>0</v>
      </c>
      <c r="AW248" s="36">
        <f t="shared" si="349"/>
        <v>0</v>
      </c>
      <c r="AX248" s="36">
        <f t="shared" si="350"/>
        <v>0</v>
      </c>
      <c r="AY248" s="39" t="s">
        <v>502</v>
      </c>
      <c r="AZ248" s="39" t="s">
        <v>519</v>
      </c>
      <c r="BA248" s="35" t="s">
        <v>521</v>
      </c>
      <c r="BC248" s="36">
        <f t="shared" si="351"/>
        <v>0</v>
      </c>
      <c r="BD248" s="36">
        <f t="shared" si="352"/>
        <v>0</v>
      </c>
      <c r="BE248" s="36">
        <v>0</v>
      </c>
      <c r="BF248" s="36">
        <f>248</f>
        <v>248</v>
      </c>
      <c r="BH248" s="26">
        <f t="shared" si="353"/>
        <v>0</v>
      </c>
      <c r="BI248" s="26">
        <f t="shared" si="354"/>
        <v>0</v>
      </c>
      <c r="BJ248" s="26">
        <f t="shared" si="355"/>
        <v>0</v>
      </c>
      <c r="BK248" s="26" t="s">
        <v>526</v>
      </c>
      <c r="BL248" s="36" t="s">
        <v>311</v>
      </c>
    </row>
    <row r="249" spans="1:64" ht="12.75">
      <c r="A249" s="5" t="s">
        <v>200</v>
      </c>
      <c r="B249" s="16" t="s">
        <v>208</v>
      </c>
      <c r="C249" s="16" t="s">
        <v>316</v>
      </c>
      <c r="D249" s="127" t="s">
        <v>443</v>
      </c>
      <c r="E249" s="128"/>
      <c r="F249" s="128"/>
      <c r="G249" s="128"/>
      <c r="H249" s="128"/>
      <c r="I249" s="16" t="s">
        <v>463</v>
      </c>
      <c r="J249" s="26">
        <v>150</v>
      </c>
      <c r="K249" s="26">
        <v>0</v>
      </c>
      <c r="L249" s="26">
        <f t="shared" si="332"/>
        <v>0</v>
      </c>
      <c r="M249" s="26">
        <f t="shared" si="333"/>
        <v>0</v>
      </c>
      <c r="N249" s="46">
        <f t="shared" si="334"/>
        <v>0</v>
      </c>
      <c r="O249" s="7"/>
      <c r="Z249" s="36">
        <f t="shared" si="335"/>
        <v>0</v>
      </c>
      <c r="AB249" s="36">
        <f t="shared" si="336"/>
        <v>0</v>
      </c>
      <c r="AC249" s="36">
        <f t="shared" si="337"/>
        <v>0</v>
      </c>
      <c r="AD249" s="36">
        <f t="shared" si="338"/>
        <v>0</v>
      </c>
      <c r="AE249" s="36">
        <f t="shared" si="339"/>
        <v>0</v>
      </c>
      <c r="AF249" s="36">
        <f t="shared" si="340"/>
        <v>0</v>
      </c>
      <c r="AG249" s="36">
        <f t="shared" si="341"/>
        <v>0</v>
      </c>
      <c r="AH249" s="36">
        <f t="shared" si="342"/>
        <v>0</v>
      </c>
      <c r="AI249" s="35" t="s">
        <v>208</v>
      </c>
      <c r="AJ249" s="26">
        <f t="shared" si="343"/>
        <v>0</v>
      </c>
      <c r="AK249" s="26">
        <f t="shared" si="344"/>
        <v>0</v>
      </c>
      <c r="AL249" s="26">
        <f t="shared" si="345"/>
        <v>0</v>
      </c>
      <c r="AN249" s="36">
        <v>21</v>
      </c>
      <c r="AO249" s="36">
        <f t="shared" si="346"/>
        <v>0</v>
      </c>
      <c r="AP249" s="36">
        <f t="shared" si="347"/>
        <v>0</v>
      </c>
      <c r="AQ249" s="37" t="s">
        <v>11</v>
      </c>
      <c r="AV249" s="36">
        <f t="shared" si="348"/>
        <v>0</v>
      </c>
      <c r="AW249" s="36">
        <f t="shared" si="349"/>
        <v>0</v>
      </c>
      <c r="AX249" s="36">
        <f t="shared" si="350"/>
        <v>0</v>
      </c>
      <c r="AY249" s="39" t="s">
        <v>502</v>
      </c>
      <c r="AZ249" s="39" t="s">
        <v>519</v>
      </c>
      <c r="BA249" s="35" t="s">
        <v>521</v>
      </c>
      <c r="BC249" s="36">
        <f t="shared" si="351"/>
        <v>0</v>
      </c>
      <c r="BD249" s="36">
        <f t="shared" si="352"/>
        <v>0</v>
      </c>
      <c r="BE249" s="36">
        <v>0</v>
      </c>
      <c r="BF249" s="36">
        <f>249</f>
        <v>249</v>
      </c>
      <c r="BH249" s="26">
        <f t="shared" si="353"/>
        <v>0</v>
      </c>
      <c r="BI249" s="26">
        <f t="shared" si="354"/>
        <v>0</v>
      </c>
      <c r="BJ249" s="26">
        <f t="shared" si="355"/>
        <v>0</v>
      </c>
      <c r="BK249" s="26" t="s">
        <v>526</v>
      </c>
      <c r="BL249" s="36" t="s">
        <v>311</v>
      </c>
    </row>
    <row r="250" spans="1:64" ht="12.75">
      <c r="A250" s="5" t="s">
        <v>201</v>
      </c>
      <c r="B250" s="16" t="s">
        <v>208</v>
      </c>
      <c r="C250" s="16" t="s">
        <v>317</v>
      </c>
      <c r="D250" s="127" t="s">
        <v>444</v>
      </c>
      <c r="E250" s="128"/>
      <c r="F250" s="128"/>
      <c r="G250" s="128"/>
      <c r="H250" s="128"/>
      <c r="I250" s="16" t="s">
        <v>463</v>
      </c>
      <c r="J250" s="26">
        <v>9</v>
      </c>
      <c r="K250" s="26">
        <v>0</v>
      </c>
      <c r="L250" s="26">
        <f t="shared" si="332"/>
        <v>0</v>
      </c>
      <c r="M250" s="26">
        <f t="shared" si="333"/>
        <v>0</v>
      </c>
      <c r="N250" s="46">
        <f t="shared" si="334"/>
        <v>0</v>
      </c>
      <c r="O250" s="7"/>
      <c r="Z250" s="36">
        <f t="shared" si="335"/>
        <v>0</v>
      </c>
      <c r="AB250" s="36">
        <f t="shared" si="336"/>
        <v>0</v>
      </c>
      <c r="AC250" s="36">
        <f t="shared" si="337"/>
        <v>0</v>
      </c>
      <c r="AD250" s="36">
        <f t="shared" si="338"/>
        <v>0</v>
      </c>
      <c r="AE250" s="36">
        <f t="shared" si="339"/>
        <v>0</v>
      </c>
      <c r="AF250" s="36">
        <f t="shared" si="340"/>
        <v>0</v>
      </c>
      <c r="AG250" s="36">
        <f t="shared" si="341"/>
        <v>0</v>
      </c>
      <c r="AH250" s="36">
        <f t="shared" si="342"/>
        <v>0</v>
      </c>
      <c r="AI250" s="35" t="s">
        <v>208</v>
      </c>
      <c r="AJ250" s="26">
        <f t="shared" si="343"/>
        <v>0</v>
      </c>
      <c r="AK250" s="26">
        <f t="shared" si="344"/>
        <v>0</v>
      </c>
      <c r="AL250" s="26">
        <f t="shared" si="345"/>
        <v>0</v>
      </c>
      <c r="AN250" s="36">
        <v>21</v>
      </c>
      <c r="AO250" s="36">
        <f t="shared" si="346"/>
        <v>0</v>
      </c>
      <c r="AP250" s="36">
        <f t="shared" si="347"/>
        <v>0</v>
      </c>
      <c r="AQ250" s="37" t="s">
        <v>11</v>
      </c>
      <c r="AV250" s="36">
        <f t="shared" si="348"/>
        <v>0</v>
      </c>
      <c r="AW250" s="36">
        <f t="shared" si="349"/>
        <v>0</v>
      </c>
      <c r="AX250" s="36">
        <f t="shared" si="350"/>
        <v>0</v>
      </c>
      <c r="AY250" s="39" t="s">
        <v>502</v>
      </c>
      <c r="AZ250" s="39" t="s">
        <v>519</v>
      </c>
      <c r="BA250" s="35" t="s">
        <v>521</v>
      </c>
      <c r="BC250" s="36">
        <f t="shared" si="351"/>
        <v>0</v>
      </c>
      <c r="BD250" s="36">
        <f t="shared" si="352"/>
        <v>0</v>
      </c>
      <c r="BE250" s="36">
        <v>0</v>
      </c>
      <c r="BF250" s="36">
        <f>250</f>
        <v>250</v>
      </c>
      <c r="BH250" s="26">
        <f t="shared" si="353"/>
        <v>0</v>
      </c>
      <c r="BI250" s="26">
        <f t="shared" si="354"/>
        <v>0</v>
      </c>
      <c r="BJ250" s="26">
        <f t="shared" si="355"/>
        <v>0</v>
      </c>
      <c r="BK250" s="26" t="s">
        <v>526</v>
      </c>
      <c r="BL250" s="36" t="s">
        <v>311</v>
      </c>
    </row>
    <row r="251" spans="1:64" ht="12.75">
      <c r="A251" s="5" t="s">
        <v>202</v>
      </c>
      <c r="B251" s="16" t="s">
        <v>208</v>
      </c>
      <c r="C251" s="16" t="s">
        <v>318</v>
      </c>
      <c r="D251" s="127" t="s">
        <v>445</v>
      </c>
      <c r="E251" s="128"/>
      <c r="F251" s="128"/>
      <c r="G251" s="128"/>
      <c r="H251" s="128"/>
      <c r="I251" s="16" t="s">
        <v>463</v>
      </c>
      <c r="J251" s="26">
        <v>0.5</v>
      </c>
      <c r="K251" s="26">
        <v>0</v>
      </c>
      <c r="L251" s="26">
        <f t="shared" si="332"/>
        <v>0</v>
      </c>
      <c r="M251" s="26">
        <f t="shared" si="333"/>
        <v>0</v>
      </c>
      <c r="N251" s="46">
        <f t="shared" si="334"/>
        <v>0</v>
      </c>
      <c r="O251" s="7"/>
      <c r="Z251" s="36">
        <f t="shared" si="335"/>
        <v>0</v>
      </c>
      <c r="AB251" s="36">
        <f t="shared" si="336"/>
        <v>0</v>
      </c>
      <c r="AC251" s="36">
        <f t="shared" si="337"/>
        <v>0</v>
      </c>
      <c r="AD251" s="36">
        <f t="shared" si="338"/>
        <v>0</v>
      </c>
      <c r="AE251" s="36">
        <f t="shared" si="339"/>
        <v>0</v>
      </c>
      <c r="AF251" s="36">
        <f t="shared" si="340"/>
        <v>0</v>
      </c>
      <c r="AG251" s="36">
        <f t="shared" si="341"/>
        <v>0</v>
      </c>
      <c r="AH251" s="36">
        <f t="shared" si="342"/>
        <v>0</v>
      </c>
      <c r="AI251" s="35" t="s">
        <v>208</v>
      </c>
      <c r="AJ251" s="26">
        <f t="shared" si="343"/>
        <v>0</v>
      </c>
      <c r="AK251" s="26">
        <f t="shared" si="344"/>
        <v>0</v>
      </c>
      <c r="AL251" s="26">
        <f t="shared" si="345"/>
        <v>0</v>
      </c>
      <c r="AN251" s="36">
        <v>21</v>
      </c>
      <c r="AO251" s="36">
        <f t="shared" si="346"/>
        <v>0</v>
      </c>
      <c r="AP251" s="36">
        <f t="shared" si="347"/>
        <v>0</v>
      </c>
      <c r="AQ251" s="37" t="s">
        <v>11</v>
      </c>
      <c r="AV251" s="36">
        <f t="shared" si="348"/>
        <v>0</v>
      </c>
      <c r="AW251" s="36">
        <f t="shared" si="349"/>
        <v>0</v>
      </c>
      <c r="AX251" s="36">
        <f t="shared" si="350"/>
        <v>0</v>
      </c>
      <c r="AY251" s="39" t="s">
        <v>502</v>
      </c>
      <c r="AZ251" s="39" t="s">
        <v>519</v>
      </c>
      <c r="BA251" s="35" t="s">
        <v>521</v>
      </c>
      <c r="BC251" s="36">
        <f t="shared" si="351"/>
        <v>0</v>
      </c>
      <c r="BD251" s="36">
        <f t="shared" si="352"/>
        <v>0</v>
      </c>
      <c r="BE251" s="36">
        <v>0</v>
      </c>
      <c r="BF251" s="36">
        <f>251</f>
        <v>251</v>
      </c>
      <c r="BH251" s="26">
        <f t="shared" si="353"/>
        <v>0</v>
      </c>
      <c r="BI251" s="26">
        <f t="shared" si="354"/>
        <v>0</v>
      </c>
      <c r="BJ251" s="26">
        <f t="shared" si="355"/>
        <v>0</v>
      </c>
      <c r="BK251" s="26" t="s">
        <v>526</v>
      </c>
      <c r="BL251" s="36" t="s">
        <v>311</v>
      </c>
    </row>
    <row r="252" spans="1:64" ht="12.75">
      <c r="A252" s="5" t="s">
        <v>203</v>
      </c>
      <c r="B252" s="16" t="s">
        <v>208</v>
      </c>
      <c r="C252" s="16" t="s">
        <v>319</v>
      </c>
      <c r="D252" s="127" t="s">
        <v>446</v>
      </c>
      <c r="E252" s="128"/>
      <c r="F252" s="128"/>
      <c r="G252" s="128"/>
      <c r="H252" s="128"/>
      <c r="I252" s="16" t="s">
        <v>463</v>
      </c>
      <c r="J252" s="26">
        <v>0.5</v>
      </c>
      <c r="K252" s="26">
        <v>0</v>
      </c>
      <c r="L252" s="26">
        <f t="shared" si="332"/>
        <v>0</v>
      </c>
      <c r="M252" s="26">
        <f t="shared" si="333"/>
        <v>0</v>
      </c>
      <c r="N252" s="46">
        <f t="shared" si="334"/>
        <v>0</v>
      </c>
      <c r="O252" s="7"/>
      <c r="Z252" s="36">
        <f t="shared" si="335"/>
        <v>0</v>
      </c>
      <c r="AB252" s="36">
        <f t="shared" si="336"/>
        <v>0</v>
      </c>
      <c r="AC252" s="36">
        <f t="shared" si="337"/>
        <v>0</v>
      </c>
      <c r="AD252" s="36">
        <f t="shared" si="338"/>
        <v>0</v>
      </c>
      <c r="AE252" s="36">
        <f t="shared" si="339"/>
        <v>0</v>
      </c>
      <c r="AF252" s="36">
        <f t="shared" si="340"/>
        <v>0</v>
      </c>
      <c r="AG252" s="36">
        <f t="shared" si="341"/>
        <v>0</v>
      </c>
      <c r="AH252" s="36">
        <f t="shared" si="342"/>
        <v>0</v>
      </c>
      <c r="AI252" s="35" t="s">
        <v>208</v>
      </c>
      <c r="AJ252" s="26">
        <f t="shared" si="343"/>
        <v>0</v>
      </c>
      <c r="AK252" s="26">
        <f t="shared" si="344"/>
        <v>0</v>
      </c>
      <c r="AL252" s="26">
        <f t="shared" si="345"/>
        <v>0</v>
      </c>
      <c r="AN252" s="36">
        <v>21</v>
      </c>
      <c r="AO252" s="36">
        <f t="shared" si="346"/>
        <v>0</v>
      </c>
      <c r="AP252" s="36">
        <f t="shared" si="347"/>
        <v>0</v>
      </c>
      <c r="AQ252" s="37" t="s">
        <v>11</v>
      </c>
      <c r="AV252" s="36">
        <f t="shared" si="348"/>
        <v>0</v>
      </c>
      <c r="AW252" s="36">
        <f t="shared" si="349"/>
        <v>0</v>
      </c>
      <c r="AX252" s="36">
        <f t="shared" si="350"/>
        <v>0</v>
      </c>
      <c r="AY252" s="39" t="s">
        <v>502</v>
      </c>
      <c r="AZ252" s="39" t="s">
        <v>519</v>
      </c>
      <c r="BA252" s="35" t="s">
        <v>521</v>
      </c>
      <c r="BC252" s="36">
        <f t="shared" si="351"/>
        <v>0</v>
      </c>
      <c r="BD252" s="36">
        <f t="shared" si="352"/>
        <v>0</v>
      </c>
      <c r="BE252" s="36">
        <v>0</v>
      </c>
      <c r="BF252" s="36">
        <f>252</f>
        <v>252</v>
      </c>
      <c r="BH252" s="26">
        <f t="shared" si="353"/>
        <v>0</v>
      </c>
      <c r="BI252" s="26">
        <f t="shared" si="354"/>
        <v>0</v>
      </c>
      <c r="BJ252" s="26">
        <f t="shared" si="355"/>
        <v>0</v>
      </c>
      <c r="BK252" s="26" t="s">
        <v>526</v>
      </c>
      <c r="BL252" s="36" t="s">
        <v>311</v>
      </c>
    </row>
    <row r="253" spans="1:47" ht="12.75">
      <c r="A253" s="4"/>
      <c r="B253" s="15" t="s">
        <v>208</v>
      </c>
      <c r="C253" s="15" t="s">
        <v>320</v>
      </c>
      <c r="D253" s="129" t="s">
        <v>447</v>
      </c>
      <c r="E253" s="130"/>
      <c r="F253" s="130"/>
      <c r="G253" s="130"/>
      <c r="H253" s="130"/>
      <c r="I253" s="23" t="s">
        <v>6</v>
      </c>
      <c r="J253" s="23" t="s">
        <v>6</v>
      </c>
      <c r="K253" s="23" t="s">
        <v>6</v>
      </c>
      <c r="L253" s="42">
        <f>SUM(L254:L254)</f>
        <v>0</v>
      </c>
      <c r="M253" s="42">
        <f>SUM(M254:M254)</f>
        <v>0</v>
      </c>
      <c r="N253" s="45">
        <f>SUM(N254:N254)</f>
        <v>0</v>
      </c>
      <c r="O253" s="7"/>
      <c r="AI253" s="35" t="s">
        <v>208</v>
      </c>
      <c r="AS253" s="42">
        <f>SUM(AJ254:AJ254)</f>
        <v>0</v>
      </c>
      <c r="AT253" s="42">
        <f>SUM(AK254:AK254)</f>
        <v>0</v>
      </c>
      <c r="AU253" s="42">
        <f>SUM(AL254:AL254)</f>
        <v>0</v>
      </c>
    </row>
    <row r="254" spans="1:64" ht="12.75">
      <c r="A254" s="9" t="s">
        <v>204</v>
      </c>
      <c r="B254" s="19" t="s">
        <v>208</v>
      </c>
      <c r="C254" s="19" t="s">
        <v>321</v>
      </c>
      <c r="D254" s="131" t="s">
        <v>448</v>
      </c>
      <c r="E254" s="132"/>
      <c r="F254" s="132"/>
      <c r="G254" s="132"/>
      <c r="H254" s="132"/>
      <c r="I254" s="19" t="s">
        <v>463</v>
      </c>
      <c r="J254" s="28">
        <v>10</v>
      </c>
      <c r="K254" s="28">
        <v>0</v>
      </c>
      <c r="L254" s="28">
        <f>J254*AO254</f>
        <v>0</v>
      </c>
      <c r="M254" s="28">
        <f>J254*AP254</f>
        <v>0</v>
      </c>
      <c r="N254" s="49">
        <f>J254*K254</f>
        <v>0</v>
      </c>
      <c r="O254" s="7"/>
      <c r="Z254" s="36">
        <f>IF(AQ254="5",BJ254,0)</f>
        <v>0</v>
      </c>
      <c r="AB254" s="36">
        <f>IF(AQ254="1",BH254,0)</f>
        <v>0</v>
      </c>
      <c r="AC254" s="36">
        <f>IF(AQ254="1",BI254,0)</f>
        <v>0</v>
      </c>
      <c r="AD254" s="36">
        <f>IF(AQ254="7",BH254,0)</f>
        <v>0</v>
      </c>
      <c r="AE254" s="36">
        <f>IF(AQ254="7",BI254,0)</f>
        <v>0</v>
      </c>
      <c r="AF254" s="36">
        <f>IF(AQ254="2",BH254,0)</f>
        <v>0</v>
      </c>
      <c r="AG254" s="36">
        <f>IF(AQ254="2",BI254,0)</f>
        <v>0</v>
      </c>
      <c r="AH254" s="36">
        <f>IF(AQ254="0",BJ254,0)</f>
        <v>0</v>
      </c>
      <c r="AI254" s="35" t="s">
        <v>208</v>
      </c>
      <c r="AJ254" s="26">
        <f>IF(AN254=0,N254,0)</f>
        <v>0</v>
      </c>
      <c r="AK254" s="26">
        <f>IF(AN254=15,N254,0)</f>
        <v>0</v>
      </c>
      <c r="AL254" s="26">
        <f>IF(AN254=21,N254,0)</f>
        <v>0</v>
      </c>
      <c r="AN254" s="36">
        <v>21</v>
      </c>
      <c r="AO254" s="36">
        <f>K254*0</f>
        <v>0</v>
      </c>
      <c r="AP254" s="36">
        <f>K254*(1-0)</f>
        <v>0</v>
      </c>
      <c r="AQ254" s="37" t="s">
        <v>11</v>
      </c>
      <c r="AV254" s="36">
        <f>AW254+AX254</f>
        <v>0</v>
      </c>
      <c r="AW254" s="36">
        <f>J254*AO254</f>
        <v>0</v>
      </c>
      <c r="AX254" s="36">
        <f>J254*AP254</f>
        <v>0</v>
      </c>
      <c r="AY254" s="39" t="s">
        <v>503</v>
      </c>
      <c r="AZ254" s="39" t="s">
        <v>519</v>
      </c>
      <c r="BA254" s="35" t="s">
        <v>521</v>
      </c>
      <c r="BC254" s="36">
        <f>AW254+AX254</f>
        <v>0</v>
      </c>
      <c r="BD254" s="36">
        <f>K254/(100-BE254)*100</f>
        <v>0</v>
      </c>
      <c r="BE254" s="36">
        <v>0</v>
      </c>
      <c r="BF254" s="36">
        <f>254</f>
        <v>254</v>
      </c>
      <c r="BH254" s="26">
        <f>J254*AO254</f>
        <v>0</v>
      </c>
      <c r="BI254" s="26">
        <f>J254*AP254</f>
        <v>0</v>
      </c>
      <c r="BJ254" s="26">
        <f>J254*K254</f>
        <v>0</v>
      </c>
      <c r="BK254" s="26" t="s">
        <v>526</v>
      </c>
      <c r="BL254" s="36" t="s">
        <v>320</v>
      </c>
    </row>
    <row r="255" spans="1:1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26" t="s">
        <v>476</v>
      </c>
      <c r="M255" s="115"/>
      <c r="N255" s="50">
        <f>N13+N22+N32+N36+N41+N53+N81+N88+N96+N109+N118+N120+N124+N126+N128+N137+N140+N149+N159+N163+N168+N179+N199+N206+N214+N225+N234+N236+N240+N242+N244+N253</f>
        <v>0</v>
      </c>
    </row>
    <row r="256" ht="11.25" customHeight="1">
      <c r="A256" s="11" t="s">
        <v>205</v>
      </c>
    </row>
    <row r="257" spans="1:14" ht="12.75">
      <c r="A257" s="80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</row>
  </sheetData>
  <sheetProtection/>
  <mergeCells count="273">
    <mergeCell ref="A1:N1"/>
    <mergeCell ref="A2:C3"/>
    <mergeCell ref="D2:E3"/>
    <mergeCell ref="F2:G3"/>
    <mergeCell ref="H2:H3"/>
    <mergeCell ref="I2:J3"/>
    <mergeCell ref="K2:N3"/>
    <mergeCell ref="A4:C5"/>
    <mergeCell ref="D4:E5"/>
    <mergeCell ref="F4:G5"/>
    <mergeCell ref="H4:H5"/>
    <mergeCell ref="I4:J5"/>
    <mergeCell ref="K4:N5"/>
    <mergeCell ref="A6:C7"/>
    <mergeCell ref="D6:E7"/>
    <mergeCell ref="F6:G7"/>
    <mergeCell ref="H6:H7"/>
    <mergeCell ref="I6:J7"/>
    <mergeCell ref="K6:N7"/>
    <mergeCell ref="A8:C9"/>
    <mergeCell ref="D8:E9"/>
    <mergeCell ref="F8:G9"/>
    <mergeCell ref="H8:H9"/>
    <mergeCell ref="I8:J9"/>
    <mergeCell ref="K8:N9"/>
    <mergeCell ref="D10:H10"/>
    <mergeCell ref="L10:N10"/>
    <mergeCell ref="D11:H11"/>
    <mergeCell ref="D12:H12"/>
    <mergeCell ref="D13:H13"/>
    <mergeCell ref="D14:H14"/>
    <mergeCell ref="D15:H15"/>
    <mergeCell ref="D16:H16"/>
    <mergeCell ref="D17:N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N29"/>
    <mergeCell ref="D30:H30"/>
    <mergeCell ref="D31:H31"/>
    <mergeCell ref="D32:H32"/>
    <mergeCell ref="D33:H33"/>
    <mergeCell ref="D34:N34"/>
    <mergeCell ref="D35:H35"/>
    <mergeCell ref="D36:H36"/>
    <mergeCell ref="D37:H37"/>
    <mergeCell ref="D38:H38"/>
    <mergeCell ref="D39:N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  <mergeCell ref="D88:H88"/>
    <mergeCell ref="D89:H89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N105"/>
    <mergeCell ref="D106:H106"/>
    <mergeCell ref="D107:N107"/>
    <mergeCell ref="D108:H108"/>
    <mergeCell ref="D109:H109"/>
    <mergeCell ref="D110:H110"/>
    <mergeCell ref="D111:H111"/>
    <mergeCell ref="D112:H112"/>
    <mergeCell ref="D113:H113"/>
    <mergeCell ref="D114:H114"/>
    <mergeCell ref="D115:H115"/>
    <mergeCell ref="D116:H116"/>
    <mergeCell ref="D117:H117"/>
    <mergeCell ref="D118:H118"/>
    <mergeCell ref="D119:H119"/>
    <mergeCell ref="D120:H120"/>
    <mergeCell ref="D121:H121"/>
    <mergeCell ref="D122:H122"/>
    <mergeCell ref="D123:H123"/>
    <mergeCell ref="D124:H124"/>
    <mergeCell ref="D125:H125"/>
    <mergeCell ref="D126:H126"/>
    <mergeCell ref="D127:H127"/>
    <mergeCell ref="D128:H128"/>
    <mergeCell ref="D129:H129"/>
    <mergeCell ref="D130:H130"/>
    <mergeCell ref="D131:H131"/>
    <mergeCell ref="D132:H132"/>
    <mergeCell ref="D133:H133"/>
    <mergeCell ref="D134:H134"/>
    <mergeCell ref="D135:H135"/>
    <mergeCell ref="D136:H136"/>
    <mergeCell ref="D137:H137"/>
    <mergeCell ref="D138:H138"/>
    <mergeCell ref="D139:H139"/>
    <mergeCell ref="D140:H140"/>
    <mergeCell ref="D141:H141"/>
    <mergeCell ref="D142:H142"/>
    <mergeCell ref="D143:H143"/>
    <mergeCell ref="D144:N144"/>
    <mergeCell ref="D145:H145"/>
    <mergeCell ref="D146:H146"/>
    <mergeCell ref="D147:H147"/>
    <mergeCell ref="D148:H148"/>
    <mergeCell ref="D149:H149"/>
    <mergeCell ref="D150:H150"/>
    <mergeCell ref="D151:H151"/>
    <mergeCell ref="D152:H152"/>
    <mergeCell ref="D153:H153"/>
    <mergeCell ref="D154:H154"/>
    <mergeCell ref="D155:H155"/>
    <mergeCell ref="D156:N156"/>
    <mergeCell ref="D157:H157"/>
    <mergeCell ref="D158:H158"/>
    <mergeCell ref="D159:H159"/>
    <mergeCell ref="D160:H160"/>
    <mergeCell ref="D161:N161"/>
    <mergeCell ref="D162:H162"/>
    <mergeCell ref="D163:H163"/>
    <mergeCell ref="D164:H164"/>
    <mergeCell ref="D165:H165"/>
    <mergeCell ref="D166:N166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D178:H178"/>
    <mergeCell ref="D179:H179"/>
    <mergeCell ref="D180:H180"/>
    <mergeCell ref="D181:H181"/>
    <mergeCell ref="D182:H182"/>
    <mergeCell ref="D183:H183"/>
    <mergeCell ref="D184:H184"/>
    <mergeCell ref="D185:H185"/>
    <mergeCell ref="D186:H186"/>
    <mergeCell ref="D187:H187"/>
    <mergeCell ref="D188:H188"/>
    <mergeCell ref="D189:H189"/>
    <mergeCell ref="D190:H190"/>
    <mergeCell ref="D191:H191"/>
    <mergeCell ref="D192:H192"/>
    <mergeCell ref="D193:H193"/>
    <mergeCell ref="D194:H194"/>
    <mergeCell ref="D195:H195"/>
    <mergeCell ref="D196:H196"/>
    <mergeCell ref="D197:H197"/>
    <mergeCell ref="D198:H198"/>
    <mergeCell ref="D199:H199"/>
    <mergeCell ref="D200:H200"/>
    <mergeCell ref="D201:H201"/>
    <mergeCell ref="D202:H202"/>
    <mergeCell ref="D203:H203"/>
    <mergeCell ref="D204:H204"/>
    <mergeCell ref="D205:H205"/>
    <mergeCell ref="D206:H206"/>
    <mergeCell ref="D207:H207"/>
    <mergeCell ref="D208:H208"/>
    <mergeCell ref="D209:H209"/>
    <mergeCell ref="D210:H210"/>
    <mergeCell ref="D211:H211"/>
    <mergeCell ref="D212:H212"/>
    <mergeCell ref="D213:H213"/>
    <mergeCell ref="D214:H214"/>
    <mergeCell ref="D215:H215"/>
    <mergeCell ref="D216:H216"/>
    <mergeCell ref="D217:H217"/>
    <mergeCell ref="D218:H218"/>
    <mergeCell ref="D219:H219"/>
    <mergeCell ref="D220:H220"/>
    <mergeCell ref="D221:H221"/>
    <mergeCell ref="D222:H222"/>
    <mergeCell ref="D223:N223"/>
    <mergeCell ref="D224:H224"/>
    <mergeCell ref="D225:H225"/>
    <mergeCell ref="D226:H226"/>
    <mergeCell ref="D227:H227"/>
    <mergeCell ref="D228:H228"/>
    <mergeCell ref="D229:H229"/>
    <mergeCell ref="D230:H230"/>
    <mergeCell ref="D231:H231"/>
    <mergeCell ref="D232:H232"/>
    <mergeCell ref="D233:H233"/>
    <mergeCell ref="D234:H234"/>
    <mergeCell ref="D235:H235"/>
    <mergeCell ref="D236:H236"/>
    <mergeCell ref="D237:H237"/>
    <mergeCell ref="D238:H238"/>
    <mergeCell ref="D239:H239"/>
    <mergeCell ref="D240:H240"/>
    <mergeCell ref="D241:H241"/>
    <mergeCell ref="D242:H242"/>
    <mergeCell ref="D243:H243"/>
    <mergeCell ref="D244:H244"/>
    <mergeCell ref="D245:H245"/>
    <mergeCell ref="D246:H246"/>
    <mergeCell ref="D247:H247"/>
    <mergeCell ref="D248:H248"/>
    <mergeCell ref="L255:M255"/>
    <mergeCell ref="A257:N257"/>
    <mergeCell ref="D249:H249"/>
    <mergeCell ref="D250:H250"/>
    <mergeCell ref="D251:H251"/>
    <mergeCell ref="D252:H252"/>
    <mergeCell ref="D253:H253"/>
    <mergeCell ref="D254:H254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Koričanská</dc:creator>
  <cp:keywords/>
  <dc:description/>
  <cp:lastModifiedBy>Daniela Koričanská</cp:lastModifiedBy>
  <dcterms:created xsi:type="dcterms:W3CDTF">2023-04-19T07:27:09Z</dcterms:created>
  <dcterms:modified xsi:type="dcterms:W3CDTF">2023-04-19T07:27:09Z</dcterms:modified>
  <cp:category/>
  <cp:version/>
  <cp:contentType/>
  <cp:contentStatus/>
</cp:coreProperties>
</file>