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Rozpočet - objekty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<sst xmlns="http://schemas.openxmlformats.org/spreadsheetml/2006/main" count="780" uniqueCount="341">
  <si>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</si>
  <si>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</si>
  <si>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</si>
  <si>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</si>
  <si>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</si>
  <si>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</si>
  <si>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</si>
  <si>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</si>
  <si>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</si>
  <si>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</si>
  <si>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</si>
  <si>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</si>
  <si>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</si>
  <si>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</si>
  <si>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</si>
  <si>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</si>
  <si>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</si>
  <si>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</si>
  <si>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</si>
  <si>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</si>
  <si>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</si>
  <si>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</si>
  <si>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</si>
  <si>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</si>
  <si>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</si>
  <si>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</si>
  <si>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</si>
  <si>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</si>
  <si>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</si>
  <si>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</si>
  <si>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</si>
  <si>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</si>
  <si>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</si>
  <si>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</si>
  <si>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</si>
  <si>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</si>
  <si>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</si>
  <si>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</si>
  <si>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</si>
  <si>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</si>
  <si>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</si>
  <si>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</si>
  <si>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</si>
  <si>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</si>
  <si>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</si>
  <si>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</si>
  <si>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</si>
  <si>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</si>
  <si>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</si>
  <si>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</si>
  <si>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</si>
  <si>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</si>
  <si>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</si>
  <si>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</si>
  <si>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</si>
  <si>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</si>
  <si>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61</t>
  </si>
  <si>
    <t>Slepý stavební rozpočet - Jen objekty celkem</t>
  </si>
  <si>
    <t xml:space="preserve"> </t>
  </si>
  <si>
    <t>Objekt</t>
  </si>
  <si>
    <t>Zkrácený popis</t>
  </si>
  <si>
    <t>Nezařazeno</t>
  </si>
  <si>
    <t>Doba výstavby:</t>
  </si>
  <si>
    <t>Zpracováno dne:</t>
  </si>
  <si>
    <t>Náklady (Kč)</t>
  </si>
  <si>
    <t>Dodávka</t>
  </si>
  <si>
    <t>Celkem:</t>
  </si>
  <si>
    <t>Celkem</t>
  </si>
  <si>
    <t>Hmotnost (t)</t>
  </si>
  <si>
    <t>F</t>
  </si>
  <si>
    <t>Slepý stavební rozpočet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</si>
  <si>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</si>
  <si>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</si>
  <si>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</si>
  <si>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</si>
  <si>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</si>
  <si>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</si>
  <si>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</si>
  <si>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</si>
  <si>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</si>
  <si>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</si>
  <si>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</si>
  <si>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</si>
  <si>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</si>
  <si>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</si>
  <si>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</si>
  <si>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</si>
  <si>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</si>
  <si>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</si>
  <si>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</si>
  <si>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</si>
  <si>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</si>
  <si>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</si>
  <si>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</si>
  <si>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</si>
  <si>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</si>
  <si>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</si>
  <si>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</si>
  <si>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</si>
  <si>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</si>
  <si>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</si>
  <si>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</si>
  <si>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</si>
  <si>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</si>
  <si>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</si>
  <si>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</si>
  <si>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</si>
  <si>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</si>
  <si>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</si>
  <si>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</si>
  <si>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</si>
  <si>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</si>
  <si>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</si>
  <si>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</si>
  <si>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</si>
  <si>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</si>
  <si>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</si>
  <si>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</si>
  <si>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</si>
  <si>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</si>
  <si>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</si>
  <si>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</si>
  <si>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</si>
  <si>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</si>
  <si>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</si>
  <si>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</si>
  <si>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</si>
  <si>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</si>
  <si>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</si>
  <si>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</si>
  <si>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</si>
  <si>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</si>
  <si>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Kód</t>
  </si>
  <si>
    <t>0</t>
  </si>
  <si>
    <t>078844111R00</t>
  </si>
  <si>
    <t>411388531R00</t>
  </si>
  <si>
    <t>317235811RT2</t>
  </si>
  <si>
    <t>311230016RAA</t>
  </si>
  <si>
    <t>312</t>
  </si>
  <si>
    <t>31275000VD</t>
  </si>
  <si>
    <t>610991111R00</t>
  </si>
  <si>
    <t>62</t>
  </si>
  <si>
    <t>602021103R00</t>
  </si>
  <si>
    <t>602011121RT3</t>
  </si>
  <si>
    <t>602011152R00</t>
  </si>
  <si>
    <t>622412222RT1</t>
  </si>
  <si>
    <t>622461311R00</t>
  </si>
  <si>
    <t>762</t>
  </si>
  <si>
    <t>762712130RT3</t>
  </si>
  <si>
    <t>762795000R00</t>
  </si>
  <si>
    <t>764</t>
  </si>
  <si>
    <t>764410880R00</t>
  </si>
  <si>
    <t>764421870R00</t>
  </si>
  <si>
    <t>764430840R00</t>
  </si>
  <si>
    <t>764339830R00</t>
  </si>
  <si>
    <t>764430850R00</t>
  </si>
  <si>
    <t>764530420R00</t>
  </si>
  <si>
    <t>764510450R00</t>
  </si>
  <si>
    <t>764521450RT2</t>
  </si>
  <si>
    <t>764521440RT2</t>
  </si>
  <si>
    <t>764521470RT2</t>
  </si>
  <si>
    <t>764530410RT2</t>
  </si>
  <si>
    <t>764239420R00</t>
  </si>
  <si>
    <t>764239430R00</t>
  </si>
  <si>
    <t>764231450R00</t>
  </si>
  <si>
    <t>998764203R00</t>
  </si>
  <si>
    <t>765</t>
  </si>
  <si>
    <t>765001VD</t>
  </si>
  <si>
    <t>765321810R00</t>
  </si>
  <si>
    <t>765313163RS3</t>
  </si>
  <si>
    <t>998765203R00</t>
  </si>
  <si>
    <t>766</t>
  </si>
  <si>
    <t>766694121R00</t>
  </si>
  <si>
    <t>61187550</t>
  </si>
  <si>
    <t>766622223R00</t>
  </si>
  <si>
    <t>61111109</t>
  </si>
  <si>
    <t>767</t>
  </si>
  <si>
    <t>767995101R00</t>
  </si>
  <si>
    <t>783</t>
  </si>
  <si>
    <t>783625300R00</t>
  </si>
  <si>
    <t>94</t>
  </si>
  <si>
    <t>94900VD</t>
  </si>
  <si>
    <t>94901VD</t>
  </si>
  <si>
    <t>942941822R00</t>
  </si>
  <si>
    <t>942941022R00</t>
  </si>
  <si>
    <t>942941192R00</t>
  </si>
  <si>
    <t>944944011R00</t>
  </si>
  <si>
    <t>944944031R00</t>
  </si>
  <si>
    <t>944944081R00</t>
  </si>
  <si>
    <t>95</t>
  </si>
  <si>
    <t>953945111RT5</t>
  </si>
  <si>
    <t>96</t>
  </si>
  <si>
    <t>967031744R00</t>
  </si>
  <si>
    <t>622901110R00</t>
  </si>
  <si>
    <t>978015391R00</t>
  </si>
  <si>
    <t>968062244R00</t>
  </si>
  <si>
    <t>968061112R00</t>
  </si>
  <si>
    <t>962100013RA0</t>
  </si>
  <si>
    <t>H99</t>
  </si>
  <si>
    <t>999281212R00</t>
  </si>
  <si>
    <t>S</t>
  </si>
  <si>
    <t>979011111R00</t>
  </si>
  <si>
    <t>979011121R00</t>
  </si>
  <si>
    <t>979082111R00</t>
  </si>
  <si>
    <t>979082121R00</t>
  </si>
  <si>
    <t>979990102R00</t>
  </si>
  <si>
    <t>979081111RT2</t>
  </si>
  <si>
    <t>979081121R00</t>
  </si>
  <si>
    <t>Oprava fasády měšťanského domu č.p.25, Jungmanova 1, NJ</t>
  </si>
  <si>
    <t>Nový jičín</t>
  </si>
  <si>
    <t>Rozměry</t>
  </si>
  <si>
    <t>Všeobecné konstrukce a práce</t>
  </si>
  <si>
    <t>Úprava ostění otvoru při opravách omítnutím MC</t>
  </si>
  <si>
    <t>Zdi podpěrné a volné</t>
  </si>
  <si>
    <t>Zabetonování otvorů o ploše do 1 m2 ve stropech</t>
  </si>
  <si>
    <t>Doplnění zdiva hlavních a kordonových říms cihlami</t>
  </si>
  <si>
    <t>Zdivo z cihel pálených plných na MC, tl. 30 cm</t>
  </si>
  <si>
    <t>zdi výplňové</t>
  </si>
  <si>
    <t>Statické zajištění štítového zdiva helikální výztuží</t>
  </si>
  <si>
    <t>Úprava povrchů vnitřní</t>
  </si>
  <si>
    <t>Zakrývání výplní vnitřních otvorů</t>
  </si>
  <si>
    <t>Úprava povrchů vnější</t>
  </si>
  <si>
    <t>Přednástřik stěn, 100% krytí, ručně</t>
  </si>
  <si>
    <t>Omítka trasová s vlákny, ručně, tloušťka vrstvy 30 mm</t>
  </si>
  <si>
    <t>Štuk na stěnách,  tl. 5 mm, ručně</t>
  </si>
  <si>
    <t>Nátěr stěn vnějších, slož.3-4, silikátový</t>
  </si>
  <si>
    <t>Oprava vnějších omítek do 30 % - srovnání nerovností do 30mm</t>
  </si>
  <si>
    <t>Konstrukce tesařské</t>
  </si>
  <si>
    <t>Montáž vázaných konstrukcí hraněných do 288 cm2</t>
  </si>
  <si>
    <t>Spojovací prostředky pro vázané konstrukce</t>
  </si>
  <si>
    <t>Konstrukce klempířské</t>
  </si>
  <si>
    <t>Demontáž oplechování parapetů,rš od 400 do 600 mm</t>
  </si>
  <si>
    <t>Demontáž oplechování říms,rš od 400 do 500 mm</t>
  </si>
  <si>
    <t>Demontáž oplechování zdí,rš od 330 do 500 mm</t>
  </si>
  <si>
    <t>Demontáž lemování komínů v ploše, hl. kryt, do 30°</t>
  </si>
  <si>
    <t>Demontáž oplechování zdí,rš 600 mm</t>
  </si>
  <si>
    <t>Oplechování zdí z Ti Zn plechu, rš 330 mm</t>
  </si>
  <si>
    <t>Oplechování parapetů včetně rohů Ti Zn, rš 330 mm</t>
  </si>
  <si>
    <t>Oplechování říms z Ti Zn plechu, rš 330 mm</t>
  </si>
  <si>
    <t>Oplechování říms z Ti Zn plechu, rš 250 mm</t>
  </si>
  <si>
    <t>Oplechování říms z Ti Zn plechu, rš 500 mm</t>
  </si>
  <si>
    <t>Oplechování zdí z Ti Zn plechu, rš 250 mm</t>
  </si>
  <si>
    <t>Lemování z Ti Zn komínů, vlnitá krytina, v hřebeni</t>
  </si>
  <si>
    <t>Lemování z Ti Zn komínů, hladká krytina, v ploše</t>
  </si>
  <si>
    <t>Lemování Ti Zn plechem zdí,tvrdá krytina,rš 500 mm</t>
  </si>
  <si>
    <t>Přesun hmot pro klempířské konstr., výšky do 24 m</t>
  </si>
  <si>
    <t>Krytina tvrdá</t>
  </si>
  <si>
    <t>Úprava stávající krytiny po opravě oplechování</t>
  </si>
  <si>
    <t>Demontáž azbestocement.čtverců na bednění, do suti</t>
  </si>
  <si>
    <t>Zakončení štítu taškou Francouzská 12 glazovaná</t>
  </si>
  <si>
    <t>Přesun hmot pro krytiny tvrdé, výšky do 24 m</t>
  </si>
  <si>
    <t>Konstrukce truhlářské</t>
  </si>
  <si>
    <t>Montáž parapetních desek š.nad 30 cm,dl.do 100 cm</t>
  </si>
  <si>
    <t>Deska parapetní smrkové dřevo šířka 20 cm</t>
  </si>
  <si>
    <t>Montáž okna komplet.otvíravá do rámů, 1kříd.nad 0,81 m2</t>
  </si>
  <si>
    <t>Okno kastlíkové  60x 80 cm nátěr kompl.+sklo</t>
  </si>
  <si>
    <t>Konstrukce doplňkové stavební (zámečnické)</t>
  </si>
  <si>
    <t>Výroba a montáž kov. atypických konstr. do 5 kg</t>
  </si>
  <si>
    <t>Nátěry</t>
  </si>
  <si>
    <t>Nátěr synt. truhl. výrobků 2x + 2x email.+2x tmel</t>
  </si>
  <si>
    <t>Lešení a stavební výtahy</t>
  </si>
  <si>
    <t>Opatření pro zesílení a úpravu lešení, zvýšený počet kotev</t>
  </si>
  <si>
    <t>Ochrana stávajících konstrukcí</t>
  </si>
  <si>
    <t>Demontáž lešení těž.řad.s pod.š.2,5, H 20 m,300 kg</t>
  </si>
  <si>
    <t>Montáž lešení těž.,řad.s pod.š.2,5, H 20 m,300 kg</t>
  </si>
  <si>
    <t>Příplatek za každý měsíc použití lešení k pol.1022</t>
  </si>
  <si>
    <t>Montáž ochranné sítě z umělých vláken</t>
  </si>
  <si>
    <t>Příplatek za každý měsíc použití sítí k pol. 4011</t>
  </si>
  <si>
    <t>Demontáž ochranné sítě z umělých vláken</t>
  </si>
  <si>
    <t>Různé dokončovací konstrukce a práce na pozemních stavbách</t>
  </si>
  <si>
    <t>Pás proti ptákům hrotový, lepením, z lešení</t>
  </si>
  <si>
    <t>Bourání konstrukcí</t>
  </si>
  <si>
    <t>Přisekání plošné zdiva cihelného na MC tl. 30 cm</t>
  </si>
  <si>
    <t>Očištění po opravách,spárovaných ploch</t>
  </si>
  <si>
    <t>Otlučení omítek vnějších MVC v složit.5-7 do 100 %</t>
  </si>
  <si>
    <t>Vybourání dřevěných rámů oken jednoduch. pl. 1 m2</t>
  </si>
  <si>
    <t>Vyvěšení dřevěných okenních křídel pl. do 1,5 m2</t>
  </si>
  <si>
    <t>Bourání nadzákladového zdiva z cihel plných</t>
  </si>
  <si>
    <t>Ostatní přesuny hmot</t>
  </si>
  <si>
    <t>Přesun hmot, opravy vněj. plášťů výšky do 36 m</t>
  </si>
  <si>
    <t>Přesuny sutí</t>
  </si>
  <si>
    <t>Svislá doprava suti a vybour. hmot za 2.NP a 1.PP</t>
  </si>
  <si>
    <t>Příplatek za každé další podlaží</t>
  </si>
  <si>
    <t>Vnitrostaveništní doprava suti do 10 m</t>
  </si>
  <si>
    <t>Příplatek k vnitrost. dopravě suti za dalších 5 m</t>
  </si>
  <si>
    <t>Poplatek za skládku suti - směs betonu a cihel</t>
  </si>
  <si>
    <t>Odvoz suti a vybour. hmot na skládku do 1 km</t>
  </si>
  <si>
    <t>Příplatek k odvozu za každý další 1 km</t>
  </si>
  <si>
    <t>M.j.</t>
  </si>
  <si>
    <t>m2</t>
  </si>
  <si>
    <t>m3</t>
  </si>
  <si>
    <t>soubor</t>
  </si>
  <si>
    <t>m</t>
  </si>
  <si>
    <t>%</t>
  </si>
  <si>
    <t>kus</t>
  </si>
  <si>
    <t>kg</t>
  </si>
  <si>
    <t>t</t>
  </si>
  <si>
    <t>Množství</t>
  </si>
  <si>
    <t>71 dní</t>
  </si>
  <si>
    <t>01.10.2018</t>
  </si>
  <si>
    <t>10.12.2018</t>
  </si>
  <si>
    <t>28.08.2018</t>
  </si>
  <si>
    <t>Jednot.</t>
  </si>
  <si>
    <t>cena (Kč)</t>
  </si>
  <si>
    <t>Město Nový jičín</t>
  </si>
  <si>
    <t>Uniprojekt, Divadelní 849/8, Nový Jičín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</si>
  <si>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</si>
  <si>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</si>
  <si>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</si>
  <si>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</si>
  <si>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</si>
  <si>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</si>
  <si>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</si>
  <si>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</si>
  <si>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</si>
  <si>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</si>
  <si>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</si>
  <si>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</si>
  <si>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</si>
  <si>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</si>
  <si>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312_</t>
  </si>
  <si>
    <t>61_</t>
  </si>
  <si>
    <t>62_</t>
  </si>
  <si>
    <t>762_</t>
  </si>
  <si>
    <t>764_</t>
  </si>
  <si>
    <t>765_</t>
  </si>
  <si>
    <t>766_</t>
  </si>
  <si>
    <t>767_</t>
  </si>
  <si>
    <t>783_</t>
  </si>
  <si>
    <t>94_</t>
  </si>
  <si>
    <t>95_</t>
  </si>
  <si>
    <t>96_</t>
  </si>
  <si>
    <t>H99_</t>
  </si>
  <si>
    <t>S_</t>
  </si>
  <si>
    <t>_0_</t>
  </si>
  <si>
    <t>_3_</t>
  </si>
  <si>
    <t>_6_</t>
  </si>
  <si>
    <t>_76_</t>
  </si>
  <si>
    <t>_78_</t>
  </si>
  <si>
    <t>_9_</t>
  </si>
  <si>
    <t>_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</si>
</sst>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0"/>
      <color indexed="8"/>
      <name val="Arial"/>
      <family val="0"/>
    </font>
    <font>
      <sz val="18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12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" xfId="0" applyNumberFormat="1" applyFont="1" applyFill="1" applyBorder="1" applyAlignment="1" applyProtection="1">
      <alignment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 wrapText="1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3" fillId="2" borderId="6" xfId="0" applyNumberFormat="1" applyFont="1" applyFill="1" applyBorder="1" applyAlignment="1" applyProtection="1">
      <alignment horizontal="center" vertical="center"/>
      <protection/>
    </xf>
    <xf numFmtId="49" fontId="4" fillId="0" borderId="7" xfId="0" applyNumberFormat="1" applyFont="1" applyFill="1" applyBorder="1" applyAlignment="1" applyProtection="1">
      <alignment vertical="center"/>
      <protection/>
    </xf>
    <xf numFmtId="49" fontId="4" fillId="0" borderId="8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4" fillId="2" borderId="9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2" borderId="5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49" fontId="5" fillId="0" borderId="6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8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4" fontId="4" fillId="2" borderId="16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1" fillId="0" borderId="27" xfId="0" applyNumberFormat="1" applyFont="1" applyFill="1" applyBorder="1" applyAlignment="1" applyProtection="1">
      <alignment vertical="center"/>
      <protection/>
    </xf>
    <xf numFmtId="49" fontId="9" fillId="0" borderId="28" xfId="0" applyNumberFormat="1" applyFont="1" applyFill="1" applyBorder="1" applyAlignment="1" applyProtection="1">
      <alignment vertical="center"/>
      <protection/>
    </xf>
    <xf numFmtId="49" fontId="1" fillId="0" borderId="29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9" fontId="1" fillId="0" borderId="30" xfId="0" applyNumberFormat="1" applyFont="1" applyFill="1" applyBorder="1" applyAlignment="1" applyProtection="1">
      <alignment vertical="center"/>
      <protection/>
    </xf>
    <xf numFmtId="49" fontId="9" fillId="0" borderId="26" xfId="0" applyNumberFormat="1" applyFont="1" applyFill="1" applyBorder="1" applyAlignment="1" applyProtection="1">
      <alignment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7" xfId="0" applyNumberFormat="1" applyFont="1" applyFill="1" applyBorder="1" applyAlignment="1" applyProtection="1">
      <alignment vertical="center"/>
      <protection/>
    </xf>
    <xf numFmtId="49" fontId="1" fillId="0" borderId="38" xfId="0" applyNumberFormat="1" applyFont="1" applyFill="1" applyBorder="1" applyAlignment="1" applyProtection="1">
      <alignment vertical="center"/>
      <protection/>
    </xf>
    <xf numFmtId="49" fontId="11" fillId="3" borderId="15" xfId="0" applyNumberFormat="1" applyFont="1" applyFill="1" applyBorder="1" applyAlignment="1" applyProtection="1">
      <alignment vertical="center"/>
      <protection/>
    </xf>
    <xf numFmtId="49" fontId="12" fillId="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vertical="center"/>
      <protection/>
    </xf>
    <xf numFmtId="49" fontId="1" fillId="0" borderId="28" xfId="0" applyNumberFormat="1" applyFont="1" applyFill="1" applyBorder="1" applyAlignment="1" applyProtection="1">
      <alignment vertical="center"/>
      <protection/>
    </xf>
    <xf numFmtId="49" fontId="15" fillId="3" borderId="15" xfId="0" applyNumberFormat="1" applyFont="1" applyFill="1" applyBorder="1" applyAlignment="1" applyProtection="1">
      <alignment vertical="center"/>
      <protection/>
    </xf>
    <xf numFmtId="49" fontId="16" fillId="4" borderId="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" xfId="0" applyNumberFormat="1" applyFont="1" applyFill="1" applyBorder="1" applyAlignment="1" applyProtection="1">
      <alignment horizontal="right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15" fillId="3" borderId="15" xfId="0" applyNumberFormat="1" applyFont="1" applyFill="1" applyBorder="1" applyAlignment="1" applyProtection="1">
      <alignment horizontal="right" vertical="center"/>
      <protection/>
    </xf>
    <xf numFmtId="49" fontId="16" fillId="4" borderId="0" xfId="0" applyNumberFormat="1" applyFont="1" applyFill="1" applyBorder="1" applyAlignment="1" applyProtection="1">
      <alignment horizontal="right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1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5" fillId="3" borderId="15" xfId="0" applyNumberFormat="1" applyFont="1" applyFill="1" applyBorder="1" applyAlignment="1" applyProtection="1">
      <alignment horizontal="right" vertical="center"/>
      <protection/>
    </xf>
    <xf numFmtId="4" fontId="16" fillId="4" borderId="0" xfId="0" applyNumberFormat="1" applyFont="1" applyFill="1" applyBorder="1" applyAlignment="1" applyProtection="1">
      <alignment horizontal="right" vertical="center"/>
      <protection/>
    </xf>
    <xf numFmtId="49" fontId="1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11"/>
      <c r="B1" s="2"/>
      <c r="C1" s="30" t="s">
        <v>22</v>
      </c>
      <c r="D1" s="37"/>
      <c r="E1" s="37"/>
      <c r="F1" s="37"/>
      <c r="G1" s="37"/>
      <c r="H1" s="37"/>
      <c r="I1" s="37"/>
    </row>
    <row r="2" spans="1:10" ht="12.75">
      <c r="A2" s="3" t="s">
        <v>0</v>
      </c>
      <c r="B2" s="12"/>
      <c r="C2" s="53" t="str">
        <f>'Stavební rozpočet'!D2</f>
        <v>Oprava fasády měšťanského domu č.p.25, Jungmanova 1, NJ</v>
      </c>
      <c r="D2" s="38"/>
      <c r="E2" s="40" t="s">
        <v>32</v>
      </c>
      <c r="F2" s="40" t="str">
        <f>'Stavební rozpočet'!J2</f>
        <v>Město Nový jičín</v>
      </c>
      <c r="G2" s="12"/>
      <c r="H2" s="40" t="s">
        <v>52</v>
      </c>
      <c r="I2" s="48"/>
      <c r="J2" s="4"/>
    </row>
    <row r="3" spans="1:10" ht="12.75">
      <c r="A3" s="4"/>
      <c r="B3" s="20"/>
      <c r="C3" s="31"/>
      <c r="D3" s="31"/>
      <c r="E3" s="20"/>
      <c r="F3" s="20"/>
      <c r="G3" s="20"/>
      <c r="H3" s="20"/>
      <c r="I3" s="46"/>
      <c r="J3" s="4"/>
    </row>
    <row r="4" spans="1:10" ht="12.75">
      <c r="A4" s="5" t="s">
        <v>1</v>
      </c>
      <c r="B4" s="20"/>
      <c r="C4" s="19" t="str">
        <f>'Stavební rozpočet'!D4</f>
        <v> </v>
      </c>
      <c r="D4" s="20"/>
      <c r="E4" s="19" t="s">
        <v>33</v>
      </c>
      <c r="F4" s="19" t="str">
        <f>'Stavební rozpočet'!J4</f>
        <v>Uniprojekt, Divadelní 849/8, Nový Jičín</v>
      </c>
      <c r="G4" s="20"/>
      <c r="H4" s="19" t="s">
        <v>52</v>
      </c>
      <c r="I4" s="49"/>
      <c r="J4" s="4"/>
    </row>
    <row r="5" spans="1:10" ht="12.75">
      <c r="A5" s="4"/>
      <c r="B5" s="20"/>
      <c r="C5" s="20"/>
      <c r="D5" s="20"/>
      <c r="E5" s="20"/>
      <c r="F5" s="20"/>
      <c r="G5" s="20"/>
      <c r="H5" s="20"/>
      <c r="I5" s="46"/>
      <c r="J5" s="4"/>
    </row>
    <row r="6" spans="1:10" ht="12.75">
      <c r="A6" s="5" t="s">
        <v>2</v>
      </c>
      <c r="B6" s="20"/>
      <c r="C6" s="19" t="str">
        <f>'Stavební rozpočet'!D6</f>
        <v>Nový jičín</v>
      </c>
      <c r="D6" s="20"/>
      <c r="E6" s="19" t="s">
        <v>34</v>
      </c>
      <c r="F6" s="19" t="str">
        <f>'Stavební rozpočet'!J6</f>
        <v> </v>
      </c>
      <c r="G6" s="20"/>
      <c r="H6" s="19" t="s">
        <v>52</v>
      </c>
      <c r="I6" s="49"/>
      <c r="J6" s="4"/>
    </row>
    <row r="7" spans="1:10" ht="12.75">
      <c r="A7" s="4"/>
      <c r="B7" s="20"/>
      <c r="C7" s="20"/>
      <c r="D7" s="20"/>
      <c r="E7" s="20"/>
      <c r="F7" s="20"/>
      <c r="G7" s="20"/>
      <c r="H7" s="20"/>
      <c r="I7" s="46"/>
      <c r="J7" s="4"/>
    </row>
    <row r="8" spans="1:10" ht="12.75">
      <c r="A8" s="5" t="s">
        <v>3</v>
      </c>
      <c r="B8" s="20"/>
      <c r="C8" s="19" t="str">
        <f>'Stavební rozpočet'!G4</f>
        <v>01.10.2018</v>
      </c>
      <c r="D8" s="20"/>
      <c r="E8" s="19" t="s">
        <v>35</v>
      </c>
      <c r="F8" s="19" t="str">
        <f>'Stavební rozpočet'!G6</f>
        <v>10.12.2018</v>
      </c>
      <c r="G8" s="20"/>
      <c r="H8" s="47" t="s">
        <v>53</v>
      </c>
      <c r="I8" s="49" t="s">
        <v>56</v>
      </c>
      <c r="J8" s="4"/>
    </row>
    <row r="9" spans="1:10" ht="12.75">
      <c r="A9" s="4"/>
      <c r="B9" s="20"/>
      <c r="C9" s="20"/>
      <c r="D9" s="20"/>
      <c r="E9" s="20"/>
      <c r="F9" s="20"/>
      <c r="G9" s="20"/>
      <c r="H9" s="20"/>
      <c r="I9" s="46"/>
      <c r="J9" s="4"/>
    </row>
    <row r="10" spans="1:10" ht="12.75">
      <c r="A10" s="5" t="s">
        <v>4</v>
      </c>
      <c r="B10" s="20"/>
      <c r="C10" s="19" t="str">
        <f>'Stavební rozpočet'!D8</f>
        <v> </v>
      </c>
      <c r="D10" s="20"/>
      <c r="E10" s="19" t="s">
        <v>36</v>
      </c>
      <c r="F10" s="19" t="str">
        <f>'Stavební rozpočet'!J8</f>
        <v> </v>
      </c>
      <c r="G10" s="20"/>
      <c r="H10" s="47" t="s">
        <v>54</v>
      </c>
      <c r="I10" s="55" t="str">
        <f>'Stavební rozpočet'!G8</f>
        <v>28.08.2018</v>
      </c>
      <c r="J10" s="4"/>
    </row>
    <row r="11" spans="1:10" ht="12.75">
      <c r="A11" s="6"/>
      <c r="B11" s="2"/>
      <c r="C11" s="2"/>
      <c r="D11" s="2"/>
      <c r="E11" s="2"/>
      <c r="F11" s="2"/>
      <c r="G11" s="2"/>
      <c r="H11" s="2"/>
      <c r="I11" s="50"/>
      <c r="J11" s="4"/>
    </row>
    <row r="12" spans="1:9" ht="23.25" customHeight="1">
      <c r="A12" s="7" t="s">
        <v>5</v>
      </c>
      <c r="B12" s="21"/>
      <c r="C12" s="21"/>
      <c r="D12" s="21"/>
      <c r="E12" s="21"/>
      <c r="F12" s="21"/>
      <c r="G12" s="21"/>
      <c r="H12" s="21"/>
      <c r="I12" s="21"/>
    </row>
    <row r="13" spans="1:10" ht="26.25" customHeight="1">
      <c r="A13" s="8" t="s">
        <v>6</v>
      </c>
      <c r="B13" s="22" t="s">
        <v>19</v>
      </c>
      <c r="C13" s="32"/>
      <c r="D13" s="8" t="s">
        <v>23</v>
      </c>
      <c r="E13" s="22" t="s">
        <v>37</v>
      </c>
      <c r="F13" s="32"/>
      <c r="G13" s="8" t="s">
        <v>38</v>
      </c>
      <c r="H13" s="22" t="s">
        <v>55</v>
      </c>
      <c r="I13" s="32"/>
      <c r="J13" s="4"/>
    </row>
    <row r="14" spans="1:10" ht="15" customHeight="1">
      <c r="A14" s="9" t="s">
        <v>7</v>
      </c>
      <c r="B14" s="23" t="s">
        <v>20</v>
      </c>
      <c r="C14" s="42">
        <f>SUM('Stavební rozpočet'!R12:R89)</f>
        <v>0</v>
      </c>
      <c r="D14" s="39" t="s">
        <v>24</v>
      </c>
      <c r="E14" s="41"/>
      <c r="F14" s="42">
        <v>0</v>
      </c>
      <c r="G14" s="39" t="s">
        <v>39</v>
      </c>
      <c r="H14" s="41"/>
      <c r="I14" s="42">
        <v>0</v>
      </c>
      <c r="J14" s="4"/>
    </row>
    <row r="15" spans="1:10" ht="15" customHeight="1">
      <c r="A15" s="10"/>
      <c r="B15" s="23" t="s">
        <v>21</v>
      </c>
      <c r="C15" s="42">
        <f>SUM('Stavební rozpočet'!S12:S89)</f>
        <v>0</v>
      </c>
      <c r="D15" s="39" t="s">
        <v>25</v>
      </c>
      <c r="E15" s="41"/>
      <c r="F15" s="42">
        <v>0</v>
      </c>
      <c r="G15" s="39" t="s">
        <v>40</v>
      </c>
      <c r="H15" s="41"/>
      <c r="I15" s="42">
        <v>0</v>
      </c>
      <c r="J15" s="4"/>
    </row>
    <row r="16" spans="1:10" ht="15" customHeight="1">
      <c r="A16" s="9" t="s">
        <v>8</v>
      </c>
      <c r="B16" s="23" t="s">
        <v>20</v>
      </c>
      <c r="C16" s="42">
        <f>SUM('Stavební rozpočet'!T12:T89)</f>
        <v>0</v>
      </c>
      <c r="D16" s="39" t="s">
        <v>26</v>
      </c>
      <c r="E16" s="41"/>
      <c r="F16" s="42">
        <v>0</v>
      </c>
      <c r="G16" s="39" t="s">
        <v>41</v>
      </c>
      <c r="H16" s="41"/>
      <c r="I16" s="42">
        <v>0</v>
      </c>
      <c r="J16" s="4"/>
    </row>
    <row r="17" spans="1:10" ht="15" customHeight="1">
      <c r="A17" s="10"/>
      <c r="B17" s="23" t="s">
        <v>21</v>
      </c>
      <c r="C17" s="42">
        <f>SUM('Stavební rozpočet'!U12:U89)</f>
        <v>0</v>
      </c>
      <c r="D17" s="39"/>
      <c r="E17" s="41"/>
      <c r="F17" s="43"/>
      <c r="G17" s="39" t="s">
        <v>42</v>
      </c>
      <c r="H17" s="41"/>
      <c r="I17" s="42">
        <v>0</v>
      </c>
      <c r="J17" s="4"/>
    </row>
    <row r="18" spans="1:10" ht="15" customHeight="1">
      <c r="A18" s="9" t="s">
        <v>9</v>
      </c>
      <c r="B18" s="23" t="s">
        <v>20</v>
      </c>
      <c r="C18" s="42">
        <f>SUM('Stavební rozpočet'!V12:V89)</f>
        <v>0</v>
      </c>
      <c r="D18" s="39"/>
      <c r="E18" s="41"/>
      <c r="F18" s="43"/>
      <c r="G18" s="39" t="s">
        <v>43</v>
      </c>
      <c r="H18" s="41"/>
      <c r="I18" s="42">
        <v>0</v>
      </c>
      <c r="J18" s="4"/>
    </row>
    <row r="19" spans="1:10" ht="15" customHeight="1">
      <c r="A19" s="10"/>
      <c r="B19" s="23" t="s">
        <v>21</v>
      </c>
      <c r="C19" s="42">
        <f>SUM('Stavební rozpočet'!W12:W89)</f>
        <v>0</v>
      </c>
      <c r="D19" s="39"/>
      <c r="E19" s="41"/>
      <c r="F19" s="43"/>
      <c r="G19" s="39" t="s">
        <v>44</v>
      </c>
      <c r="H19" s="41"/>
      <c r="I19" s="42">
        <v>0</v>
      </c>
      <c r="J19" s="4"/>
    </row>
    <row r="20" spans="1:10" ht="15" customHeight="1">
      <c r="A20" s="11" t="s">
        <v>10</v>
      </c>
      <c r="B20" s="24"/>
      <c r="C20" s="42">
        <f>SUM('Stavební rozpočet'!X12:X89)</f>
        <v>0</v>
      </c>
      <c r="D20" s="39"/>
      <c r="E20" s="41"/>
      <c r="F20" s="43"/>
      <c r="G20" s="39"/>
      <c r="H20" s="41"/>
      <c r="I20" s="43"/>
      <c r="J20" s="4"/>
    </row>
    <row r="21" spans="1:10" ht="15" customHeight="1">
      <c r="A21" s="11" t="s">
        <v>11</v>
      </c>
      <c r="B21" s="24"/>
      <c r="C21" s="42">
        <f>SUM('Stavební rozpočet'!P12:P89)</f>
        <v>0</v>
      </c>
      <c r="D21" s="39"/>
      <c r="E21" s="41"/>
      <c r="F21" s="43"/>
      <c r="G21" s="39"/>
      <c r="H21" s="41"/>
      <c r="I21" s="43"/>
      <c r="J21" s="4"/>
    </row>
    <row r="22" spans="1:10" ht="16.5" customHeight="1">
      <c r="A22" s="11" t="s">
        <v>12</v>
      </c>
      <c r="B22" s="24"/>
      <c r="C22" s="42">
        <f>SUM(C14:C21)</f>
        <v>0</v>
      </c>
      <c r="D22" s="11" t="s">
        <v>27</v>
      </c>
      <c r="E22" s="24"/>
      <c r="F22" s="42">
        <f>SUM(F14:F21)</f>
        <v>0</v>
      </c>
      <c r="G22" s="11" t="s">
        <v>45</v>
      </c>
      <c r="H22" s="24"/>
      <c r="I22" s="42">
        <f>SUM(I14:I21)</f>
        <v>0</v>
      </c>
      <c r="J22" s="4"/>
    </row>
    <row r="23" spans="1:10" ht="15" customHeight="1">
      <c r="A23" s="12"/>
      <c r="B23" s="12"/>
      <c r="C23" s="33"/>
      <c r="D23" s="11" t="s">
        <v>28</v>
      </c>
      <c r="E23" s="24"/>
      <c r="F23" s="44">
        <v>0</v>
      </c>
      <c r="G23" s="11" t="s">
        <v>46</v>
      </c>
      <c r="H23" s="24"/>
      <c r="I23" s="42">
        <v>0</v>
      </c>
      <c r="J23" s="4"/>
    </row>
    <row r="24" spans="4:9" ht="15" customHeight="1">
      <c r="D24" s="12"/>
      <c r="E24" s="12"/>
      <c r="F24" s="45"/>
      <c r="G24" s="11" t="s">
        <v>47</v>
      </c>
      <c r="H24" s="24"/>
      <c r="I24" s="51"/>
    </row>
    <row r="25" spans="6:10" ht="15" customHeight="1">
      <c r="F25" s="46"/>
      <c r="G25" s="11" t="s">
        <v>48</v>
      </c>
      <c r="H25" s="24"/>
      <c r="I25" s="42">
        <v>0</v>
      </c>
      <c r="J25" s="4"/>
    </row>
    <row r="26" spans="1:9" ht="12.75">
      <c r="A26" s="2"/>
      <c r="B26" s="2"/>
      <c r="C26" s="2"/>
      <c r="G26" s="12"/>
      <c r="H26" s="12"/>
      <c r="I26" s="12"/>
    </row>
    <row r="27" spans="1:9" ht="15" customHeight="1">
      <c r="A27" s="13" t="s">
        <v>13</v>
      </c>
      <c r="B27" s="25"/>
      <c r="C27" s="54">
        <f>SUM('Stavební rozpočet'!Z12:Z89)</f>
        <v>0</v>
      </c>
      <c r="D27" s="6"/>
      <c r="E27" s="2"/>
      <c r="F27" s="2"/>
      <c r="G27" s="2"/>
      <c r="H27" s="2"/>
      <c r="I27" s="2"/>
    </row>
    <row r="28" spans="1:10" ht="15" customHeight="1">
      <c r="A28" s="13" t="s">
        <v>14</v>
      </c>
      <c r="B28" s="25"/>
      <c r="C28" s="54">
        <f>SUM('Stavební rozpočet'!AA12:AA89)+(F22+I22+F23+I23+I24+I25)</f>
        <v>0</v>
      </c>
      <c r="D28" s="13" t="s">
        <v>29</v>
      </c>
      <c r="E28" s="25"/>
      <c r="F28" s="54">
        <f>ROUND(C28*(15/100),2)</f>
        <v>0</v>
      </c>
      <c r="G28" s="13" t="s">
        <v>49</v>
      </c>
      <c r="H28" s="25"/>
      <c r="I28" s="54">
        <f>SUM(C27:C29)</f>
        <v>0</v>
      </c>
      <c r="J28" s="4"/>
    </row>
    <row r="29" spans="1:10" ht="15" customHeight="1">
      <c r="A29" s="13" t="s">
        <v>15</v>
      </c>
      <c r="B29" s="25"/>
      <c r="C29" s="54">
        <f>SUM('Stavební rozpočet'!AB12:AB89)</f>
        <v>0</v>
      </c>
      <c r="D29" s="13" t="s">
        <v>30</v>
      </c>
      <c r="E29" s="25"/>
      <c r="F29" s="54">
        <f>ROUND(C29*(21/100),2)</f>
        <v>0</v>
      </c>
      <c r="G29" s="13" t="s">
        <v>50</v>
      </c>
      <c r="H29" s="25"/>
      <c r="I29" s="54">
        <f>SUM(F28:F29)+I28</f>
        <v>0</v>
      </c>
      <c r="J29" s="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10" ht="14.25" customHeight="1">
      <c r="A31" s="15" t="s">
        <v>16</v>
      </c>
      <c r="B31" s="26"/>
      <c r="C31" s="34"/>
      <c r="D31" s="15" t="s">
        <v>31</v>
      </c>
      <c r="E31" s="26"/>
      <c r="F31" s="34"/>
      <c r="G31" s="15" t="s">
        <v>51</v>
      </c>
      <c r="H31" s="26"/>
      <c r="I31" s="34"/>
      <c r="J31" s="52"/>
    </row>
    <row r="32" spans="1:10" ht="14.25" customHeight="1">
      <c r="A32" s="16"/>
      <c r="B32" s="27"/>
      <c r="C32" s="35"/>
      <c r="D32" s="16"/>
      <c r="E32" s="27"/>
      <c r="F32" s="35"/>
      <c r="G32" s="16"/>
      <c r="H32" s="27"/>
      <c r="I32" s="35"/>
      <c r="J32" s="52"/>
    </row>
    <row r="33" spans="1:10" ht="14.25" customHeight="1">
      <c r="A33" s="16"/>
      <c r="B33" s="27"/>
      <c r="C33" s="35"/>
      <c r="D33" s="16"/>
      <c r="E33" s="27"/>
      <c r="F33" s="35"/>
      <c r="G33" s="16"/>
      <c r="H33" s="27"/>
      <c r="I33" s="35"/>
      <c r="J33" s="52"/>
    </row>
    <row r="34" spans="1:10" ht="14.25" customHeight="1">
      <c r="A34" s="16"/>
      <c r="B34" s="27"/>
      <c r="C34" s="35"/>
      <c r="D34" s="16"/>
      <c r="E34" s="27"/>
      <c r="F34" s="35"/>
      <c r="G34" s="16"/>
      <c r="H34" s="27"/>
      <c r="I34" s="35"/>
      <c r="J34" s="52"/>
    </row>
    <row r="35" spans="1:10" ht="14.25" customHeight="1">
      <c r="A35" s="17" t="s">
        <v>17</v>
      </c>
      <c r="B35" s="28"/>
      <c r="C35" s="36"/>
      <c r="D35" s="17" t="s">
        <v>17</v>
      </c>
      <c r="E35" s="28"/>
      <c r="F35" s="36"/>
      <c r="G35" s="17" t="s">
        <v>17</v>
      </c>
      <c r="H35" s="28"/>
      <c r="I35" s="36"/>
      <c r="J35" s="52"/>
    </row>
    <row r="36" spans="1:9" ht="11.25" customHeight="1">
      <c r="A36" s="18" t="s">
        <v>18</v>
      </c>
      <c r="B36" s="29"/>
      <c r="C36" s="29"/>
      <c r="D36" s="29"/>
      <c r="E36" s="29"/>
      <c r="F36" s="29"/>
      <c r="G36" s="29"/>
      <c r="H36" s="29"/>
      <c r="I36" s="29"/>
    </row>
    <row r="37" spans="1:9" ht="12.75">
      <c r="A37" s="19"/>
      <c r="B37" s="20"/>
      <c r="C37" s="20"/>
      <c r="D37" s="20"/>
      <c r="E37" s="20"/>
      <c r="F37" s="20"/>
      <c r="G37" s="20"/>
      <c r="H37" s="20"/>
      <c r="I37" s="20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6.8515625" customWidth="1"/>
    <col min="2" max="2" width="4.57421875" customWidth="1"/>
    <col min="3" max="3" width="13.28125" customWidth="1"/>
    <col min="4" max="4" width="34.140625" customWidth="1"/>
    <col min="5" max="5" width="4.28125" customWidth="1"/>
    <col min="6" max="6" width="10.8515625" customWidth="1"/>
    <col min="7" max="7" width="12.00390625" customWidth="1"/>
    <col min="8" max="11" width="14.28125" customWidth="1"/>
    <col min="12" max="12" width="11.7109375" customWidth="1"/>
    <col min="13" max="14" width="12.140625" hidden="1" customWidth="1"/>
  </cols>
  <sheetData>
    <row r="1" spans="1:12" ht="72.75" customHeight="1">
      <c r="A1" s="110" t="s">
        <v>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ht="12.75">
      <c r="A2" s="3" t="s">
        <v>0</v>
      </c>
      <c r="B2" s="12"/>
      <c r="C2" s="12"/>
      <c r="D2" s="53" t="str">
        <f>'Stavební rozpočet'!D2</f>
        <v>Oprava fasády měšťanského domu č.p.25, Jungmanova 1, NJ</v>
      </c>
      <c r="E2" s="40" t="s">
        <v>62</v>
      </c>
      <c r="F2" s="12"/>
      <c r="G2" s="40" t="str">
        <f>'Stavební rozpočet'!G2</f>
        <v>71 dní</v>
      </c>
      <c r="H2" s="12"/>
      <c r="I2" s="40" t="s">
        <v>32</v>
      </c>
      <c r="J2" s="40" t="str">
        <f>'Stavební rozpočet'!J2</f>
        <v>Město Nový jičín</v>
      </c>
      <c r="K2" s="12"/>
      <c r="L2" s="33"/>
      <c r="M2" s="4"/>
    </row>
    <row r="3" spans="1:13" ht="12.75">
      <c r="A3" s="4"/>
      <c r="B3" s="20"/>
      <c r="C3" s="20"/>
      <c r="D3" s="31"/>
      <c r="E3" s="20"/>
      <c r="F3" s="20"/>
      <c r="G3" s="20"/>
      <c r="H3" s="20"/>
      <c r="I3" s="20"/>
      <c r="J3" s="20"/>
      <c r="K3" s="20"/>
      <c r="L3" s="46"/>
      <c r="M3" s="4"/>
    </row>
    <row r="4" spans="1:13" ht="12.75">
      <c r="A4" s="5" t="s">
        <v>1</v>
      </c>
      <c r="B4" s="20"/>
      <c r="C4" s="20"/>
      <c r="D4" s="19" t="str">
        <f>'Stavební rozpočet'!D4</f>
        <v> </v>
      </c>
      <c r="E4" s="19" t="s">
        <v>3</v>
      </c>
      <c r="F4" s="20"/>
      <c r="G4" s="19" t="str">
        <f>'Stavební rozpočet'!G4</f>
        <v>01.10.2018</v>
      </c>
      <c r="H4" s="20"/>
      <c r="I4" s="19" t="s">
        <v>33</v>
      </c>
      <c r="J4" s="19" t="str">
        <f>'Stavební rozpočet'!J4</f>
        <v>Uniprojekt, Divadelní 849/8, Nový Jičín</v>
      </c>
      <c r="K4" s="20"/>
      <c r="L4" s="46"/>
      <c r="M4" s="4"/>
    </row>
    <row r="5" spans="1:13" ht="12.75">
      <c r="A5" s="4"/>
      <c r="B5" s="20"/>
      <c r="C5" s="20"/>
      <c r="D5" s="20"/>
      <c r="E5" s="20"/>
      <c r="F5" s="20"/>
      <c r="G5" s="20"/>
      <c r="H5" s="20"/>
      <c r="I5" s="20"/>
      <c r="J5" s="20"/>
      <c r="K5" s="20"/>
      <c r="L5" s="46"/>
      <c r="M5" s="4"/>
    </row>
    <row r="6" spans="1:13" ht="12.75">
      <c r="A6" s="5" t="s">
        <v>2</v>
      </c>
      <c r="B6" s="20"/>
      <c r="C6" s="20"/>
      <c r="D6" s="19" t="str">
        <f>'Stavební rozpočet'!D6</f>
        <v>Nový jičín</v>
      </c>
      <c r="E6" s="19" t="s">
        <v>35</v>
      </c>
      <c r="F6" s="20"/>
      <c r="G6" s="19" t="str">
        <f>'Stavební rozpočet'!G6</f>
        <v>10.12.2018</v>
      </c>
      <c r="H6" s="20"/>
      <c r="I6" s="19" t="s">
        <v>34</v>
      </c>
      <c r="J6" s="19" t="str">
        <f>'Stavební rozpočet'!J6</f>
        <v> </v>
      </c>
      <c r="K6" s="20"/>
      <c r="L6" s="46"/>
      <c r="M6" s="4"/>
    </row>
    <row r="7" spans="1:13" ht="12.75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46"/>
      <c r="M7" s="4"/>
    </row>
    <row r="8" spans="1:13" ht="12.75">
      <c r="A8" s="5" t="s">
        <v>4</v>
      </c>
      <c r="B8" s="20"/>
      <c r="C8" s="20"/>
      <c r="D8" s="19" t="str">
        <f>'Stavební rozpočet'!D8</f>
        <v> </v>
      </c>
      <c r="E8" s="19" t="s">
        <v>63</v>
      </c>
      <c r="F8" s="20"/>
      <c r="G8" s="19" t="str">
        <f>'Stavební rozpočet'!G8</f>
        <v>28.08.2018</v>
      </c>
      <c r="H8" s="20"/>
      <c r="I8" s="19" t="s">
        <v>36</v>
      </c>
      <c r="J8" s="19" t="str">
        <f>'Stavební rozpočet'!J8</f>
        <v> </v>
      </c>
      <c r="K8" s="20"/>
      <c r="L8" s="46"/>
      <c r="M8" s="4"/>
    </row>
    <row r="9" spans="1:13" ht="12.75">
      <c r="A9" s="57"/>
      <c r="B9" s="63"/>
      <c r="C9" s="63"/>
      <c r="D9" s="63"/>
      <c r="E9" s="63"/>
      <c r="F9" s="63"/>
      <c r="G9" s="63"/>
      <c r="H9" s="63"/>
      <c r="I9" s="63"/>
      <c r="J9" s="63"/>
      <c r="K9" s="63"/>
      <c r="L9" s="76"/>
      <c r="M9" s="4"/>
    </row>
    <row r="10" spans="1:13" ht="12.75">
      <c r="A10" s="58" t="s">
        <v>58</v>
      </c>
      <c r="B10" s="64" t="s">
        <v>58</v>
      </c>
      <c r="C10" s="29"/>
      <c r="D10" s="29"/>
      <c r="E10" s="29"/>
      <c r="F10" s="29"/>
      <c r="G10" s="29"/>
      <c r="H10" s="68"/>
      <c r="I10" s="70" t="s">
        <v>64</v>
      </c>
      <c r="J10" s="73"/>
      <c r="K10" s="75"/>
      <c r="L10" s="77" t="s">
        <v>68</v>
      </c>
      <c r="M10" s="52"/>
    </row>
    <row r="11" spans="1:13" ht="12.75">
      <c r="A11" s="59" t="s">
        <v>59</v>
      </c>
      <c r="B11" s="65" t="s">
        <v>60</v>
      </c>
      <c r="C11" s="66"/>
      <c r="D11" s="66"/>
      <c r="E11" s="66"/>
      <c r="F11" s="66"/>
      <c r="G11" s="66"/>
      <c r="H11" s="69"/>
      <c r="I11" s="71" t="s">
        <v>65</v>
      </c>
      <c r="J11" s="74" t="s">
        <v>21</v>
      </c>
      <c r="K11" s="74" t="s">
        <v>67</v>
      </c>
      <c r="L11" s="78" t="s">
        <v>67</v>
      </c>
      <c r="M11" s="52"/>
    </row>
    <row r="12" spans="1:14" ht="12.75">
      <c r="A12" s="60"/>
      <c r="B12" s="60" t="s">
        <v>61</v>
      </c>
      <c r="C12" s="67"/>
      <c r="D12" s="67"/>
      <c r="E12" s="67"/>
      <c r="F12" s="67"/>
      <c r="G12" s="67"/>
      <c r="H12" s="67"/>
      <c r="I12" s="80">
        <f>'Stavební rozpočet'!H12</f>
        <v>0</v>
      </c>
      <c r="J12" s="80">
        <f>'Stavební rozpočet'!I12</f>
        <v>0</v>
      </c>
      <c r="K12" s="80">
        <f>I12+J12</f>
        <v>0</v>
      </c>
      <c r="L12" s="80">
        <f>'Stavební rozpočet'!L12</f>
        <v>57.088924899999995</v>
      </c>
      <c r="M12" s="79" t="s">
        <v>69</v>
      </c>
      <c r="N12" s="79">
        <f>IF(M12="F",0,K12)</f>
        <v>0</v>
      </c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72" t="s">
        <v>66</v>
      </c>
      <c r="J13" s="38"/>
      <c r="K13" s="81">
        <f>SUM(K12:K12)</f>
        <v>0</v>
      </c>
      <c r="L13" s="12"/>
    </row>
    <row r="14" ht="11.25" customHeight="1">
      <c r="A14" s="61" t="s">
        <v>18</v>
      </c>
    </row>
    <row r="15" spans="1:11" ht="12.7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</sheetData>
  <mergeCells count="31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B10:H10"/>
    <mergeCell ref="I10:K10"/>
    <mergeCell ref="B11:H11"/>
    <mergeCell ref="B12:H12"/>
    <mergeCell ref="I13:J13"/>
    <mergeCell ref="A15:K1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2"/>
  <sheetViews>
    <sheetView workbookViewId="0" topLeftCell="A1">
      <pane ySplit="11" topLeftCell="A12" activePane="bottomLeft" state="frozen"/>
      <selection pane="bottomLeft"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57.8515625" customWidth="1"/>
    <col min="5" max="5" width="7.003906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10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2.75">
      <c r="A2" s="3" t="s">
        <v>0</v>
      </c>
      <c r="B2" s="12"/>
      <c r="C2" s="12"/>
      <c r="D2" s="53" t="s">
        <v>208</v>
      </c>
      <c r="E2" s="93" t="s">
        <v>62</v>
      </c>
      <c r="F2" s="12"/>
      <c r="G2" s="93" t="s">
        <v>298</v>
      </c>
      <c r="H2" s="12"/>
      <c r="I2" s="40" t="s">
        <v>32</v>
      </c>
      <c r="J2" s="40" t="s">
        <v>304</v>
      </c>
      <c r="K2" s="12"/>
      <c r="L2" s="12"/>
      <c r="M2" s="33"/>
      <c r="N2" s="4"/>
    </row>
    <row r="3" spans="1:14" ht="12.75">
      <c r="A3" s="4"/>
      <c r="B3" s="20"/>
      <c r="C3" s="20"/>
      <c r="D3" s="31"/>
      <c r="E3" s="20"/>
      <c r="F3" s="20"/>
      <c r="G3" s="20"/>
      <c r="H3" s="20"/>
      <c r="I3" s="20"/>
      <c r="J3" s="20"/>
      <c r="K3" s="20"/>
      <c r="L3" s="20"/>
      <c r="M3" s="46"/>
      <c r="N3" s="4"/>
    </row>
    <row r="4" spans="1:14" ht="12.75">
      <c r="A4" s="5" t="s">
        <v>1</v>
      </c>
      <c r="B4" s="20"/>
      <c r="C4" s="20"/>
      <c r="D4" s="19" t="s">
        <v>58</v>
      </c>
      <c r="E4" s="47" t="s">
        <v>3</v>
      </c>
      <c r="F4" s="20"/>
      <c r="G4" s="47" t="s">
        <v>299</v>
      </c>
      <c r="H4" s="20"/>
      <c r="I4" s="19" t="s">
        <v>33</v>
      </c>
      <c r="J4" s="19" t="s">
        <v>305</v>
      </c>
      <c r="K4" s="20"/>
      <c r="L4" s="20"/>
      <c r="M4" s="46"/>
      <c r="N4" s="4"/>
    </row>
    <row r="5" spans="1:14" ht="12.75">
      <c r="A5" s="4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46"/>
      <c r="N5" s="4"/>
    </row>
    <row r="6" spans="1:14" ht="12.75">
      <c r="A6" s="5" t="s">
        <v>2</v>
      </c>
      <c r="B6" s="20"/>
      <c r="C6" s="20"/>
      <c r="D6" s="19" t="s">
        <v>209</v>
      </c>
      <c r="E6" s="47" t="s">
        <v>35</v>
      </c>
      <c r="F6" s="20"/>
      <c r="G6" s="47" t="s">
        <v>300</v>
      </c>
      <c r="H6" s="20"/>
      <c r="I6" s="19" t="s">
        <v>34</v>
      </c>
      <c r="J6" s="19" t="s">
        <v>58</v>
      </c>
      <c r="K6" s="20"/>
      <c r="L6" s="20"/>
      <c r="M6" s="46"/>
      <c r="N6" s="4"/>
    </row>
    <row r="7" spans="1:14" ht="12.75">
      <c r="A7" s="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46"/>
      <c r="N7" s="4"/>
    </row>
    <row r="8" spans="1:14" ht="12.75">
      <c r="A8" s="5" t="s">
        <v>4</v>
      </c>
      <c r="B8" s="20"/>
      <c r="C8" s="20"/>
      <c r="D8" s="19" t="s">
        <v>58</v>
      </c>
      <c r="E8" s="47" t="s">
        <v>63</v>
      </c>
      <c r="F8" s="20"/>
      <c r="G8" s="47" t="s">
        <v>301</v>
      </c>
      <c r="H8" s="20"/>
      <c r="I8" s="19" t="s">
        <v>36</v>
      </c>
      <c r="J8" s="19" t="s">
        <v>58</v>
      </c>
      <c r="K8" s="20"/>
      <c r="L8" s="20"/>
      <c r="M8" s="46"/>
      <c r="N8" s="4"/>
    </row>
    <row r="9" spans="1:14" ht="12.75">
      <c r="A9" s="57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76"/>
      <c r="N9" s="4"/>
    </row>
    <row r="10" spans="1:14" ht="12.75">
      <c r="A10" s="82" t="s">
        <v>71</v>
      </c>
      <c r="B10" s="89" t="s">
        <v>59</v>
      </c>
      <c r="C10" s="89" t="s">
        <v>132</v>
      </c>
      <c r="D10" s="89" t="s">
        <v>60</v>
      </c>
      <c r="E10" s="89" t="s">
        <v>288</v>
      </c>
      <c r="F10" s="94" t="s">
        <v>297</v>
      </c>
      <c r="G10" s="98" t="s">
        <v>302</v>
      </c>
      <c r="H10" s="70" t="s">
        <v>64</v>
      </c>
      <c r="I10" s="73"/>
      <c r="J10" s="75"/>
      <c r="K10" s="70" t="s">
        <v>68</v>
      </c>
      <c r="L10" s="75"/>
      <c r="M10" s="102" t="s">
        <v>306</v>
      </c>
      <c r="N10" s="52"/>
    </row>
    <row r="11" spans="1:24" ht="12.75">
      <c r="A11" s="83" t="s">
        <v>58</v>
      </c>
      <c r="B11" s="90" t="s">
        <v>58</v>
      </c>
      <c r="C11" s="90" t="s">
        <v>58</v>
      </c>
      <c r="D11" s="59" t="s">
        <v>210</v>
      </c>
      <c r="E11" s="90" t="s">
        <v>58</v>
      </c>
      <c r="F11" s="90" t="s">
        <v>58</v>
      </c>
      <c r="G11" s="99" t="s">
        <v>303</v>
      </c>
      <c r="H11" s="71" t="s">
        <v>65</v>
      </c>
      <c r="I11" s="74" t="s">
        <v>21</v>
      </c>
      <c r="J11" s="78" t="s">
        <v>67</v>
      </c>
      <c r="K11" s="71" t="s">
        <v>302</v>
      </c>
      <c r="L11" s="78" t="s">
        <v>67</v>
      </c>
      <c r="M11" s="103" t="s">
        <v>307</v>
      </c>
      <c r="N11" s="52"/>
      <c r="P11" s="101" t="s">
        <v>309</v>
      </c>
      <c r="Q11" s="101" t="s">
        <v>310</v>
      </c>
      <c r="R11" s="101" t="s">
        <v>311</v>
      </c>
      <c r="S11" s="101" t="s">
        <v>312</v>
      </c>
      <c r="T11" s="101" t="s">
        <v>313</v>
      </c>
      <c r="U11" s="101" t="s">
        <v>314</v>
      </c>
      <c r="V11" s="101" t="s">
        <v>315</v>
      </c>
      <c r="W11" s="101" t="s">
        <v>316</v>
      </c>
      <c r="X11" s="101" t="s">
        <v>317</v>
      </c>
    </row>
    <row r="12" spans="1:13" ht="12.75">
      <c r="A12" s="84"/>
      <c r="B12" s="91"/>
      <c r="C12" s="91"/>
      <c r="D12" s="91" t="s">
        <v>61</v>
      </c>
      <c r="E12" s="84" t="s">
        <v>58</v>
      </c>
      <c r="F12" s="84" t="s">
        <v>58</v>
      </c>
      <c r="G12" s="84" t="s">
        <v>58</v>
      </c>
      <c r="H12" s="108">
        <f>H13+H15+H19+H21+H23+H29+H32+H48+H53+H58+H60+H62+H71+H73+H80+H82</f>
        <v>0</v>
      </c>
      <c r="I12" s="108">
        <f>I13+I15+I19+I21+I23+I29+I32+I48+I53+I58+I60+I62+I71+I73+I80+I82</f>
        <v>0</v>
      </c>
      <c r="J12" s="108">
        <f>H12+I12</f>
        <v>0</v>
      </c>
      <c r="K12" s="100"/>
      <c r="L12" s="108">
        <f>L13+L15+L19+L21+L23+L29+L32+L48+L53+L58+L60+L62+L71+L73+L80+L82</f>
        <v>57.088924899999995</v>
      </c>
      <c r="M12" s="100"/>
    </row>
    <row r="13" spans="1:37" ht="12.75">
      <c r="A13" s="85"/>
      <c r="B13" s="92"/>
      <c r="C13" s="92" t="s">
        <v>133</v>
      </c>
      <c r="D13" s="92" t="s">
        <v>211</v>
      </c>
      <c r="E13" s="85" t="s">
        <v>58</v>
      </c>
      <c r="F13" s="85" t="s">
        <v>58</v>
      </c>
      <c r="G13" s="85" t="s">
        <v>58</v>
      </c>
      <c r="H13" s="109">
        <f>SUM(H14:H14)</f>
        <v>0</v>
      </c>
      <c r="I13" s="109">
        <f>SUM(I14:I14)</f>
        <v>0</v>
      </c>
      <c r="J13" s="109">
        <f>H13+I13</f>
        <v>0</v>
      </c>
      <c r="K13" s="101"/>
      <c r="L13" s="109">
        <f>SUM(L14:L14)</f>
        <v>0</v>
      </c>
      <c r="M13" s="101"/>
      <c r="Y13" s="101"/>
      <c r="AI13" s="109">
        <f>SUM(Z14:Z14)</f>
        <v>0</v>
      </c>
      <c r="AJ13" s="109">
        <f>SUM(AA14:AA14)</f>
        <v>0</v>
      </c>
      <c r="AK13" s="109">
        <f>SUM(AB14:AB14)</f>
        <v>0</v>
      </c>
    </row>
    <row r="14" spans="1:48" ht="12.75">
      <c r="A14" s="86" t="s">
        <v>72</v>
      </c>
      <c r="B14" s="86"/>
      <c r="C14" s="86" t="s">
        <v>134</v>
      </c>
      <c r="D14" s="86" t="s">
        <v>212</v>
      </c>
      <c r="E14" s="86" t="s">
        <v>289</v>
      </c>
      <c r="F14" s="95">
        <v>3.36</v>
      </c>
      <c r="G14" s="95">
        <v>0</v>
      </c>
      <c r="H14" s="95">
        <f>F14*AE14</f>
        <v>0</v>
      </c>
      <c r="I14" s="95">
        <f>J14-H14</f>
        <v>0</v>
      </c>
      <c r="J14" s="95">
        <f>F14*G14</f>
        <v>0</v>
      </c>
      <c r="K14" s="95">
        <v>0</v>
      </c>
      <c r="L14" s="95">
        <f>F14*K14</f>
        <v>0</v>
      </c>
      <c r="M14" s="104" t="s">
        <v>308</v>
      </c>
      <c r="P14" s="79">
        <f>IF(AG14="5",J14,0)</f>
        <v>0</v>
      </c>
      <c r="R14" s="79">
        <f>IF(AG14="1",H14,0)</f>
        <v>0</v>
      </c>
      <c r="S14" s="79">
        <f>IF(AG14="1",I14,0)</f>
        <v>0</v>
      </c>
      <c r="T14" s="79">
        <f>IF(AG14="7",H14,0)</f>
        <v>0</v>
      </c>
      <c r="U14" s="79">
        <f>IF(AG14="7",I14,0)</f>
        <v>0</v>
      </c>
      <c r="V14" s="79">
        <f>IF(AG14="2",H14,0)</f>
        <v>0</v>
      </c>
      <c r="W14" s="79">
        <f>IF(AG14="2",I14,0)</f>
        <v>0</v>
      </c>
      <c r="X14" s="79">
        <f>IF(AG14="0",J14,0)</f>
        <v>0</v>
      </c>
      <c r="Y14" s="101"/>
      <c r="Z14" s="95">
        <f>IF(AD14=0,J14,0)</f>
        <v>0</v>
      </c>
      <c r="AA14" s="95">
        <f>IF(AD14=15,J14,0)</f>
        <v>0</v>
      </c>
      <c r="AB14" s="95">
        <f>IF(AD14=21,J14,0)</f>
        <v>0</v>
      </c>
      <c r="AD14" s="79">
        <v>15</v>
      </c>
      <c r="AE14" s="79">
        <f>G14*0</f>
        <v>0</v>
      </c>
      <c r="AF14" s="79">
        <f>G14*(1-0)</f>
        <v>0</v>
      </c>
      <c r="AG14" s="104" t="s">
        <v>72</v>
      </c>
      <c r="AM14" s="79">
        <f>F14*AE14</f>
        <v>0</v>
      </c>
      <c r="AN14" s="79">
        <f>F14*AF14</f>
        <v>0</v>
      </c>
      <c r="AO14" s="107" t="s">
        <v>318</v>
      </c>
      <c r="AP14" s="107" t="s">
        <v>334</v>
      </c>
      <c r="AQ14" s="101" t="s">
        <v>340</v>
      </c>
      <c r="AS14" s="79">
        <f>AM14+AN14</f>
        <v>0</v>
      </c>
      <c r="AT14" s="79">
        <f>G14/(100-AU14)*100</f>
        <v>0</v>
      </c>
      <c r="AU14" s="79">
        <v>0</v>
      </c>
      <c r="AV14" s="79">
        <f>L14</f>
        <v>0</v>
      </c>
    </row>
    <row r="15" spans="1:37" ht="12.75">
      <c r="A15" s="85"/>
      <c r="B15" s="92"/>
      <c r="C15" s="92" t="s">
        <v>102</v>
      </c>
      <c r="D15" s="92" t="s">
        <v>213</v>
      </c>
      <c r="E15" s="85" t="s">
        <v>58</v>
      </c>
      <c r="F15" s="85" t="s">
        <v>58</v>
      </c>
      <c r="G15" s="85" t="s">
        <v>58</v>
      </c>
      <c r="H15" s="109">
        <f>SUM(H16:H18)</f>
        <v>0</v>
      </c>
      <c r="I15" s="109">
        <f>SUM(I16:I18)</f>
        <v>0</v>
      </c>
      <c r="J15" s="109">
        <f>H15+I15</f>
        <v>0</v>
      </c>
      <c r="K15" s="101"/>
      <c r="L15" s="109">
        <f>SUM(L16:L18)</f>
        <v>5.213711</v>
      </c>
      <c r="M15" s="101"/>
      <c r="Y15" s="101"/>
      <c r="AI15" s="109">
        <f>SUM(Z16:Z18)</f>
        <v>0</v>
      </c>
      <c r="AJ15" s="109">
        <f>SUM(AA16:AA18)</f>
        <v>0</v>
      </c>
      <c r="AK15" s="109">
        <f>SUM(AB16:AB18)</f>
        <v>0</v>
      </c>
    </row>
    <row r="16" spans="1:48" ht="12.75">
      <c r="A16" s="86" t="s">
        <v>73</v>
      </c>
      <c r="B16" s="86"/>
      <c r="C16" s="86" t="s">
        <v>135</v>
      </c>
      <c r="D16" s="86" t="s">
        <v>214</v>
      </c>
      <c r="E16" s="86" t="s">
        <v>290</v>
      </c>
      <c r="F16" s="95">
        <v>0.28</v>
      </c>
      <c r="G16" s="95">
        <v>0</v>
      </c>
      <c r="H16" s="95">
        <f>F16*AE16</f>
        <v>0</v>
      </c>
      <c r="I16" s="95">
        <f>J16-H16</f>
        <v>0</v>
      </c>
      <c r="J16" s="95">
        <f>F16*G16</f>
        <v>0</v>
      </c>
      <c r="K16" s="95">
        <v>2.69752</v>
      </c>
      <c r="L16" s="95">
        <f>F16*K16</f>
        <v>0.7553056</v>
      </c>
      <c r="M16" s="104" t="s">
        <v>308</v>
      </c>
      <c r="P16" s="79">
        <f>IF(AG16="5",J16,0)</f>
        <v>0</v>
      </c>
      <c r="R16" s="79">
        <f>IF(AG16="1",H16,0)</f>
        <v>0</v>
      </c>
      <c r="S16" s="79">
        <f>IF(AG16="1",I16,0)</f>
        <v>0</v>
      </c>
      <c r="T16" s="79">
        <f>IF(AG16="7",H16,0)</f>
        <v>0</v>
      </c>
      <c r="U16" s="79">
        <f>IF(AG16="7",I16,0)</f>
        <v>0</v>
      </c>
      <c r="V16" s="79">
        <f>IF(AG16="2",H16,0)</f>
        <v>0</v>
      </c>
      <c r="W16" s="79">
        <f>IF(AG16="2",I16,0)</f>
        <v>0</v>
      </c>
      <c r="X16" s="79">
        <f>IF(AG16="0",J16,0)</f>
        <v>0</v>
      </c>
      <c r="Y16" s="101"/>
      <c r="Z16" s="95">
        <f>IF(AD16=0,J16,0)</f>
        <v>0</v>
      </c>
      <c r="AA16" s="95">
        <f>IF(AD16=15,J16,0)</f>
        <v>0</v>
      </c>
      <c r="AB16" s="95">
        <f>IF(AD16=21,J16,0)</f>
        <v>0</v>
      </c>
      <c r="AD16" s="79">
        <v>15</v>
      </c>
      <c r="AE16" s="79">
        <f>G16*0.423023651145602</f>
        <v>0</v>
      </c>
      <c r="AF16" s="79">
        <f>G16*(1-0.423023651145602)</f>
        <v>0</v>
      </c>
      <c r="AG16" s="104" t="s">
        <v>72</v>
      </c>
      <c r="AM16" s="79">
        <f>F16*AE16</f>
        <v>0</v>
      </c>
      <c r="AN16" s="79">
        <f>F16*AF16</f>
        <v>0</v>
      </c>
      <c r="AO16" s="107" t="s">
        <v>319</v>
      </c>
      <c r="AP16" s="107" t="s">
        <v>335</v>
      </c>
      <c r="AQ16" s="101" t="s">
        <v>340</v>
      </c>
      <c r="AS16" s="79">
        <f>AM16+AN16</f>
        <v>0</v>
      </c>
      <c r="AT16" s="79">
        <f>G16/(100-AU16)*100</f>
        <v>0</v>
      </c>
      <c r="AU16" s="79">
        <v>0</v>
      </c>
      <c r="AV16" s="79">
        <f>L16</f>
        <v>0.7553056</v>
      </c>
    </row>
    <row r="17" spans="1:48" ht="12.75">
      <c r="A17" s="86" t="s">
        <v>74</v>
      </c>
      <c r="B17" s="86"/>
      <c r="C17" s="86" t="s">
        <v>136</v>
      </c>
      <c r="D17" s="86" t="s">
        <v>215</v>
      </c>
      <c r="E17" s="86" t="s">
        <v>290</v>
      </c>
      <c r="F17" s="95">
        <v>0.281</v>
      </c>
      <c r="G17" s="95">
        <v>0</v>
      </c>
      <c r="H17" s="95">
        <f>F17*AE17</f>
        <v>0</v>
      </c>
      <c r="I17" s="95">
        <f>J17-H17</f>
        <v>0</v>
      </c>
      <c r="J17" s="95">
        <f>F17*G17</f>
        <v>0</v>
      </c>
      <c r="K17" s="95">
        <v>1.799</v>
      </c>
      <c r="L17" s="95">
        <f>F17*K17</f>
        <v>0.505519</v>
      </c>
      <c r="M17" s="104" t="s">
        <v>308</v>
      </c>
      <c r="P17" s="79">
        <f>IF(AG17="5",J17,0)</f>
        <v>0</v>
      </c>
      <c r="R17" s="79">
        <f>IF(AG17="1",H17,0)</f>
        <v>0</v>
      </c>
      <c r="S17" s="79">
        <f>IF(AG17="1",I17,0)</f>
        <v>0</v>
      </c>
      <c r="T17" s="79">
        <f>IF(AG17="7",H17,0)</f>
        <v>0</v>
      </c>
      <c r="U17" s="79">
        <f>IF(AG17="7",I17,0)</f>
        <v>0</v>
      </c>
      <c r="V17" s="79">
        <f>IF(AG17="2",H17,0)</f>
        <v>0</v>
      </c>
      <c r="W17" s="79">
        <f>IF(AG17="2",I17,0)</f>
        <v>0</v>
      </c>
      <c r="X17" s="79">
        <f>IF(AG17="0",J17,0)</f>
        <v>0</v>
      </c>
      <c r="Y17" s="101"/>
      <c r="Z17" s="95">
        <f>IF(AD17=0,J17,0)</f>
        <v>0</v>
      </c>
      <c r="AA17" s="95">
        <f>IF(AD17=15,J17,0)</f>
        <v>0</v>
      </c>
      <c r="AB17" s="95">
        <f>IF(AD17=21,J17,0)</f>
        <v>0</v>
      </c>
      <c r="AD17" s="79">
        <v>15</v>
      </c>
      <c r="AE17" s="79">
        <f>G17*0.690451555363211</f>
        <v>0</v>
      </c>
      <c r="AF17" s="79">
        <f>G17*(1-0.690451555363211)</f>
        <v>0</v>
      </c>
      <c r="AG17" s="104" t="s">
        <v>72</v>
      </c>
      <c r="AM17" s="79">
        <f>F17*AE17</f>
        <v>0</v>
      </c>
      <c r="AN17" s="79">
        <f>F17*AF17</f>
        <v>0</v>
      </c>
      <c r="AO17" s="107" t="s">
        <v>319</v>
      </c>
      <c r="AP17" s="107" t="s">
        <v>335</v>
      </c>
      <c r="AQ17" s="101" t="s">
        <v>340</v>
      </c>
      <c r="AS17" s="79">
        <f>AM17+AN17</f>
        <v>0</v>
      </c>
      <c r="AT17" s="79">
        <f>G17/(100-AU17)*100</f>
        <v>0</v>
      </c>
      <c r="AU17" s="79">
        <v>0</v>
      </c>
      <c r="AV17" s="79">
        <f>L17</f>
        <v>0.505519</v>
      </c>
    </row>
    <row r="18" spans="1:48" ht="12.75">
      <c r="A18" s="86" t="s">
        <v>75</v>
      </c>
      <c r="B18" s="86"/>
      <c r="C18" s="86" t="s">
        <v>137</v>
      </c>
      <c r="D18" s="86" t="s">
        <v>216</v>
      </c>
      <c r="E18" s="86" t="s">
        <v>290</v>
      </c>
      <c r="F18" s="95">
        <v>2.16</v>
      </c>
      <c r="G18" s="95">
        <v>0</v>
      </c>
      <c r="H18" s="95">
        <f>F18*AE18</f>
        <v>0</v>
      </c>
      <c r="I18" s="95">
        <f>J18-H18</f>
        <v>0</v>
      </c>
      <c r="J18" s="95">
        <f>F18*G18</f>
        <v>0</v>
      </c>
      <c r="K18" s="95">
        <v>1.83004</v>
      </c>
      <c r="L18" s="95">
        <f>F18*K18</f>
        <v>3.9528864</v>
      </c>
      <c r="M18" s="104" t="s">
        <v>308</v>
      </c>
      <c r="P18" s="79">
        <f>IF(AG18="5",J18,0)</f>
        <v>0</v>
      </c>
      <c r="R18" s="79">
        <f>IF(AG18="1",H18,0)</f>
        <v>0</v>
      </c>
      <c r="S18" s="79">
        <f>IF(AG18="1",I18,0)</f>
        <v>0</v>
      </c>
      <c r="T18" s="79">
        <f>IF(AG18="7",H18,0)</f>
        <v>0</v>
      </c>
      <c r="U18" s="79">
        <f>IF(AG18="7",I18,0)</f>
        <v>0</v>
      </c>
      <c r="V18" s="79">
        <f>IF(AG18="2",H18,0)</f>
        <v>0</v>
      </c>
      <c r="W18" s="79">
        <f>IF(AG18="2",I18,0)</f>
        <v>0</v>
      </c>
      <c r="X18" s="79">
        <f>IF(AG18="0",J18,0)</f>
        <v>0</v>
      </c>
      <c r="Y18" s="101"/>
      <c r="Z18" s="95">
        <f>IF(AD18=0,J18,0)</f>
        <v>0</v>
      </c>
      <c r="AA18" s="95">
        <f>IF(AD18=15,J18,0)</f>
        <v>0</v>
      </c>
      <c r="AB18" s="95">
        <f>IF(AD18=21,J18,0)</f>
        <v>0</v>
      </c>
      <c r="AD18" s="79">
        <v>15</v>
      </c>
      <c r="AE18" s="79">
        <f>G18*0.598066650928245</f>
        <v>0</v>
      </c>
      <c r="AF18" s="79">
        <f>G18*(1-0.598066650928245)</f>
        <v>0</v>
      </c>
      <c r="AG18" s="104" t="s">
        <v>72</v>
      </c>
      <c r="AM18" s="79">
        <f>F18*AE18</f>
        <v>0</v>
      </c>
      <c r="AN18" s="79">
        <f>F18*AF18</f>
        <v>0</v>
      </c>
      <c r="AO18" s="107" t="s">
        <v>319</v>
      </c>
      <c r="AP18" s="107" t="s">
        <v>335</v>
      </c>
      <c r="AQ18" s="101" t="s">
        <v>340</v>
      </c>
      <c r="AS18" s="79">
        <f>AM18+AN18</f>
        <v>0</v>
      </c>
      <c r="AT18" s="79">
        <f>G18/(100-AU18)*100</f>
        <v>0</v>
      </c>
      <c r="AU18" s="79">
        <v>0</v>
      </c>
      <c r="AV18" s="79">
        <f>L18</f>
        <v>3.9528864</v>
      </c>
    </row>
    <row r="19" spans="1:37" ht="12.75">
      <c r="A19" s="85"/>
      <c r="B19" s="92"/>
      <c r="C19" s="92" t="s">
        <v>138</v>
      </c>
      <c r="D19" s="92" t="s">
        <v>217</v>
      </c>
      <c r="E19" s="85" t="s">
        <v>58</v>
      </c>
      <c r="F19" s="85" t="s">
        <v>58</v>
      </c>
      <c r="G19" s="85" t="s">
        <v>58</v>
      </c>
      <c r="H19" s="109">
        <f>SUM(H20:H20)</f>
        <v>0</v>
      </c>
      <c r="I19" s="109">
        <f>SUM(I20:I20)</f>
        <v>0</v>
      </c>
      <c r="J19" s="109">
        <f>H19+I19</f>
        <v>0</v>
      </c>
      <c r="K19" s="101"/>
      <c r="L19" s="109">
        <f>SUM(L20:L20)</f>
        <v>0</v>
      </c>
      <c r="M19" s="101"/>
      <c r="Y19" s="101"/>
      <c r="AI19" s="109">
        <f>SUM(Z20:Z20)</f>
        <v>0</v>
      </c>
      <c r="AJ19" s="109">
        <f>SUM(AA20:AA20)</f>
        <v>0</v>
      </c>
      <c r="AK19" s="109">
        <f>SUM(AB20:AB20)</f>
        <v>0</v>
      </c>
    </row>
    <row r="20" spans="1:48" ht="12.75">
      <c r="A20" s="86" t="s">
        <v>76</v>
      </c>
      <c r="B20" s="86"/>
      <c r="C20" s="86" t="s">
        <v>139</v>
      </c>
      <c r="D20" s="86" t="s">
        <v>218</v>
      </c>
      <c r="E20" s="86" t="s">
        <v>291</v>
      </c>
      <c r="F20" s="95">
        <v>1</v>
      </c>
      <c r="G20" s="95">
        <v>0</v>
      </c>
      <c r="H20" s="95">
        <f>F20*AE20</f>
        <v>0</v>
      </c>
      <c r="I20" s="95">
        <f>J20-H20</f>
        <v>0</v>
      </c>
      <c r="J20" s="95">
        <f>F20*G20</f>
        <v>0</v>
      </c>
      <c r="K20" s="95">
        <v>0</v>
      </c>
      <c r="L20" s="95">
        <f>F20*K20</f>
        <v>0</v>
      </c>
      <c r="M20" s="104"/>
      <c r="P20" s="79">
        <f>IF(AG20="5",J20,0)</f>
        <v>0</v>
      </c>
      <c r="R20" s="79">
        <f>IF(AG20="1",H20,0)</f>
        <v>0</v>
      </c>
      <c r="S20" s="79">
        <f>IF(AG20="1",I20,0)</f>
        <v>0</v>
      </c>
      <c r="T20" s="79">
        <f>IF(AG20="7",H20,0)</f>
        <v>0</v>
      </c>
      <c r="U20" s="79">
        <f>IF(AG20="7",I20,0)</f>
        <v>0</v>
      </c>
      <c r="V20" s="79">
        <f>IF(AG20="2",H20,0)</f>
        <v>0</v>
      </c>
      <c r="W20" s="79">
        <f>IF(AG20="2",I20,0)</f>
        <v>0</v>
      </c>
      <c r="X20" s="79">
        <f>IF(AG20="0",J20,0)</f>
        <v>0</v>
      </c>
      <c r="Y20" s="101"/>
      <c r="Z20" s="95">
        <f>IF(AD20=0,J20,0)</f>
        <v>0</v>
      </c>
      <c r="AA20" s="95">
        <f>IF(AD20=15,J20,0)</f>
        <v>0</v>
      </c>
      <c r="AB20" s="95">
        <f>IF(AD20=21,J20,0)</f>
        <v>0</v>
      </c>
      <c r="AD20" s="79">
        <v>15</v>
      </c>
      <c r="AE20" s="79">
        <f>G20*0.441176470588235</f>
        <v>0</v>
      </c>
      <c r="AF20" s="79">
        <f>G20*(1-0.441176470588235)</f>
        <v>0</v>
      </c>
      <c r="AG20" s="104" t="s">
        <v>72</v>
      </c>
      <c r="AM20" s="79">
        <f>F20*AE20</f>
        <v>0</v>
      </c>
      <c r="AN20" s="79">
        <f>F20*AF20</f>
        <v>0</v>
      </c>
      <c r="AO20" s="107" t="s">
        <v>320</v>
      </c>
      <c r="AP20" s="107" t="s">
        <v>335</v>
      </c>
      <c r="AQ20" s="101" t="s">
        <v>340</v>
      </c>
      <c r="AS20" s="79">
        <f>AM20+AN20</f>
        <v>0</v>
      </c>
      <c r="AT20" s="79">
        <f>G20/(100-AU20)*100</f>
        <v>0</v>
      </c>
      <c r="AU20" s="79">
        <v>0</v>
      </c>
      <c r="AV20" s="79">
        <f>L20</f>
        <v>0</v>
      </c>
    </row>
    <row r="21" spans="1:37" ht="12.75">
      <c r="A21" s="85"/>
      <c r="B21" s="92"/>
      <c r="C21" s="92" t="s">
        <v>56</v>
      </c>
      <c r="D21" s="92" t="s">
        <v>219</v>
      </c>
      <c r="E21" s="85" t="s">
        <v>58</v>
      </c>
      <c r="F21" s="85" t="s">
        <v>58</v>
      </c>
      <c r="G21" s="85" t="s">
        <v>58</v>
      </c>
      <c r="H21" s="109">
        <f>SUM(H22:H22)</f>
        <v>0</v>
      </c>
      <c r="I21" s="109">
        <f>SUM(I22:I22)</f>
        <v>0</v>
      </c>
      <c r="J21" s="109">
        <f>H21+I21</f>
        <v>0</v>
      </c>
      <c r="K21" s="101"/>
      <c r="L21" s="109">
        <f>SUM(L22:L22)</f>
        <v>9.6E-05</v>
      </c>
      <c r="M21" s="101"/>
      <c r="Y21" s="101"/>
      <c r="AI21" s="109">
        <f>SUM(Z22:Z22)</f>
        <v>0</v>
      </c>
      <c r="AJ21" s="109">
        <f>SUM(AA22:AA22)</f>
        <v>0</v>
      </c>
      <c r="AK21" s="109">
        <f>SUM(AB22:AB22)</f>
        <v>0</v>
      </c>
    </row>
    <row r="22" spans="1:48" ht="12.75">
      <c r="A22" s="86" t="s">
        <v>77</v>
      </c>
      <c r="B22" s="86"/>
      <c r="C22" s="86" t="s">
        <v>140</v>
      </c>
      <c r="D22" s="86" t="s">
        <v>220</v>
      </c>
      <c r="E22" s="86" t="s">
        <v>289</v>
      </c>
      <c r="F22" s="95">
        <v>2.4</v>
      </c>
      <c r="G22" s="95">
        <v>0</v>
      </c>
      <c r="H22" s="95">
        <f>F22*AE22</f>
        <v>0</v>
      </c>
      <c r="I22" s="95">
        <f>J22-H22</f>
        <v>0</v>
      </c>
      <c r="J22" s="95">
        <f>F22*G22</f>
        <v>0</v>
      </c>
      <c r="K22" s="95">
        <v>4E-05</v>
      </c>
      <c r="L22" s="95">
        <f>F22*K22</f>
        <v>9.6E-05</v>
      </c>
      <c r="M22" s="104" t="s">
        <v>308</v>
      </c>
      <c r="P22" s="79">
        <f>IF(AG22="5",J22,0)</f>
        <v>0</v>
      </c>
      <c r="R22" s="79">
        <f>IF(AG22="1",H22,0)</f>
        <v>0</v>
      </c>
      <c r="S22" s="79">
        <f>IF(AG22="1",I22,0)</f>
        <v>0</v>
      </c>
      <c r="T22" s="79">
        <f>IF(AG22="7",H22,0)</f>
        <v>0</v>
      </c>
      <c r="U22" s="79">
        <f>IF(AG22="7",I22,0)</f>
        <v>0</v>
      </c>
      <c r="V22" s="79">
        <f>IF(AG22="2",H22,0)</f>
        <v>0</v>
      </c>
      <c r="W22" s="79">
        <f>IF(AG22="2",I22,0)</f>
        <v>0</v>
      </c>
      <c r="X22" s="79">
        <f>IF(AG22="0",J22,0)</f>
        <v>0</v>
      </c>
      <c r="Y22" s="101"/>
      <c r="Z22" s="95">
        <f>IF(AD22=0,J22,0)</f>
        <v>0</v>
      </c>
      <c r="AA22" s="95">
        <f>IF(AD22=15,J22,0)</f>
        <v>0</v>
      </c>
      <c r="AB22" s="95">
        <f>IF(AD22=21,J22,0)</f>
        <v>0</v>
      </c>
      <c r="AD22" s="79">
        <v>15</v>
      </c>
      <c r="AE22" s="79">
        <f>G22*0.328041450777202</f>
        <v>0</v>
      </c>
      <c r="AF22" s="79">
        <f>G22*(1-0.328041450777202)</f>
        <v>0</v>
      </c>
      <c r="AG22" s="104" t="s">
        <v>72</v>
      </c>
      <c r="AM22" s="79">
        <f>F22*AE22</f>
        <v>0</v>
      </c>
      <c r="AN22" s="79">
        <f>F22*AF22</f>
        <v>0</v>
      </c>
      <c r="AO22" s="107" t="s">
        <v>321</v>
      </c>
      <c r="AP22" s="107" t="s">
        <v>336</v>
      </c>
      <c r="AQ22" s="101" t="s">
        <v>340</v>
      </c>
      <c r="AS22" s="79">
        <f>AM22+AN22</f>
        <v>0</v>
      </c>
      <c r="AT22" s="79">
        <f>G22/(100-AU22)*100</f>
        <v>0</v>
      </c>
      <c r="AU22" s="79">
        <v>0</v>
      </c>
      <c r="AV22" s="79">
        <f>L22</f>
        <v>9.6E-05</v>
      </c>
    </row>
    <row r="23" spans="1:37" ht="12.75">
      <c r="A23" s="85"/>
      <c r="B23" s="92"/>
      <c r="C23" s="92" t="s">
        <v>141</v>
      </c>
      <c r="D23" s="92" t="s">
        <v>221</v>
      </c>
      <c r="E23" s="85" t="s">
        <v>58</v>
      </c>
      <c r="F23" s="85" t="s">
        <v>58</v>
      </c>
      <c r="G23" s="85" t="s">
        <v>58</v>
      </c>
      <c r="H23" s="109">
        <f>SUM(H24:H28)</f>
        <v>0</v>
      </c>
      <c r="I23" s="109">
        <f>SUM(I24:I28)</f>
        <v>0</v>
      </c>
      <c r="J23" s="109">
        <f>H23+I23</f>
        <v>0</v>
      </c>
      <c r="K23" s="101"/>
      <c r="L23" s="109">
        <f>SUM(L24:L28)</f>
        <v>16.1032776</v>
      </c>
      <c r="M23" s="101"/>
      <c r="Y23" s="101"/>
      <c r="AI23" s="109">
        <f>SUM(Z24:Z28)</f>
        <v>0</v>
      </c>
      <c r="AJ23" s="109">
        <f>SUM(AA24:AA28)</f>
        <v>0</v>
      </c>
      <c r="AK23" s="109">
        <f>SUM(AB24:AB28)</f>
        <v>0</v>
      </c>
    </row>
    <row r="24" spans="1:48" ht="12.75">
      <c r="A24" s="86" t="s">
        <v>78</v>
      </c>
      <c r="B24" s="86"/>
      <c r="C24" s="86" t="s">
        <v>142</v>
      </c>
      <c r="D24" s="86" t="s">
        <v>222</v>
      </c>
      <c r="E24" s="86" t="s">
        <v>289</v>
      </c>
      <c r="F24" s="95">
        <v>201.46</v>
      </c>
      <c r="G24" s="95">
        <v>0</v>
      </c>
      <c r="H24" s="95">
        <f>F24*AE24</f>
        <v>0</v>
      </c>
      <c r="I24" s="95">
        <f>J24-H24</f>
        <v>0</v>
      </c>
      <c r="J24" s="95">
        <f>F24*G24</f>
        <v>0</v>
      </c>
      <c r="K24" s="95">
        <v>0.00737</v>
      </c>
      <c r="L24" s="95">
        <f>F24*K24</f>
        <v>1.4847602</v>
      </c>
      <c r="M24" s="104" t="s">
        <v>308</v>
      </c>
      <c r="P24" s="79">
        <f>IF(AG24="5",J24,0)</f>
        <v>0</v>
      </c>
      <c r="R24" s="79">
        <f>IF(AG24="1",H24,0)</f>
        <v>0</v>
      </c>
      <c r="S24" s="79">
        <f>IF(AG24="1",I24,0)</f>
        <v>0</v>
      </c>
      <c r="T24" s="79">
        <f>IF(AG24="7",H24,0)</f>
        <v>0</v>
      </c>
      <c r="U24" s="79">
        <f>IF(AG24="7",I24,0)</f>
        <v>0</v>
      </c>
      <c r="V24" s="79">
        <f>IF(AG24="2",H24,0)</f>
        <v>0</v>
      </c>
      <c r="W24" s="79">
        <f>IF(AG24="2",I24,0)</f>
        <v>0</v>
      </c>
      <c r="X24" s="79">
        <f>IF(AG24="0",J24,0)</f>
        <v>0</v>
      </c>
      <c r="Y24" s="101"/>
      <c r="Z24" s="95">
        <f>IF(AD24=0,J24,0)</f>
        <v>0</v>
      </c>
      <c r="AA24" s="95">
        <f>IF(AD24=15,J24,0)</f>
        <v>0</v>
      </c>
      <c r="AB24" s="95">
        <f>IF(AD24=21,J24,0)</f>
        <v>0</v>
      </c>
      <c r="AD24" s="79">
        <v>15</v>
      </c>
      <c r="AE24" s="79">
        <f>G24*0.343348637394015</f>
        <v>0</v>
      </c>
      <c r="AF24" s="79">
        <f>G24*(1-0.343348637394015)</f>
        <v>0</v>
      </c>
      <c r="AG24" s="104" t="s">
        <v>72</v>
      </c>
      <c r="AM24" s="79">
        <f>F24*AE24</f>
        <v>0</v>
      </c>
      <c r="AN24" s="79">
        <f>F24*AF24</f>
        <v>0</v>
      </c>
      <c r="AO24" s="107" t="s">
        <v>322</v>
      </c>
      <c r="AP24" s="107" t="s">
        <v>336</v>
      </c>
      <c r="AQ24" s="101" t="s">
        <v>340</v>
      </c>
      <c r="AS24" s="79">
        <f>AM24+AN24</f>
        <v>0</v>
      </c>
      <c r="AT24" s="79">
        <f>G24/(100-AU24)*100</f>
        <v>0</v>
      </c>
      <c r="AU24" s="79">
        <v>0</v>
      </c>
      <c r="AV24" s="79">
        <f>L24</f>
        <v>1.4847602</v>
      </c>
    </row>
    <row r="25" spans="1:48" ht="12.75">
      <c r="A25" s="86" t="s">
        <v>79</v>
      </c>
      <c r="B25" s="86"/>
      <c r="C25" s="86" t="s">
        <v>143</v>
      </c>
      <c r="D25" s="86" t="s">
        <v>223</v>
      </c>
      <c r="E25" s="86" t="s">
        <v>289</v>
      </c>
      <c r="F25" s="95">
        <v>201.46</v>
      </c>
      <c r="G25" s="95">
        <v>0</v>
      </c>
      <c r="H25" s="95">
        <f>F25*AE25</f>
        <v>0</v>
      </c>
      <c r="I25" s="95">
        <f>J25-H25</f>
        <v>0</v>
      </c>
      <c r="J25" s="95">
        <f>F25*G25</f>
        <v>0</v>
      </c>
      <c r="K25" s="95">
        <v>0.039</v>
      </c>
      <c r="L25" s="95">
        <f>F25*K25</f>
        <v>7.856940000000001</v>
      </c>
      <c r="M25" s="104" t="s">
        <v>308</v>
      </c>
      <c r="P25" s="79">
        <f>IF(AG25="5",J25,0)</f>
        <v>0</v>
      </c>
      <c r="R25" s="79">
        <f>IF(AG25="1",H25,0)</f>
        <v>0</v>
      </c>
      <c r="S25" s="79">
        <f>IF(AG25="1",I25,0)</f>
        <v>0</v>
      </c>
      <c r="T25" s="79">
        <f>IF(AG25="7",H25,0)</f>
        <v>0</v>
      </c>
      <c r="U25" s="79">
        <f>IF(AG25="7",I25,0)</f>
        <v>0</v>
      </c>
      <c r="V25" s="79">
        <f>IF(AG25="2",H25,0)</f>
        <v>0</v>
      </c>
      <c r="W25" s="79">
        <f>IF(AG25="2",I25,0)</f>
        <v>0</v>
      </c>
      <c r="X25" s="79">
        <f>IF(AG25="0",J25,0)</f>
        <v>0</v>
      </c>
      <c r="Y25" s="101"/>
      <c r="Z25" s="95">
        <f>IF(AD25=0,J25,0)</f>
        <v>0</v>
      </c>
      <c r="AA25" s="95">
        <f>IF(AD25=15,J25,0)</f>
        <v>0</v>
      </c>
      <c r="AB25" s="95">
        <f>IF(AD25=21,J25,0)</f>
        <v>0</v>
      </c>
      <c r="AD25" s="79">
        <v>15</v>
      </c>
      <c r="AE25" s="79">
        <f>G25*0.677549668874172</f>
        <v>0</v>
      </c>
      <c r="AF25" s="79">
        <f>G25*(1-0.677549668874172)</f>
        <v>0</v>
      </c>
      <c r="AG25" s="104" t="s">
        <v>72</v>
      </c>
      <c r="AM25" s="79">
        <f>F25*AE25</f>
        <v>0</v>
      </c>
      <c r="AN25" s="79">
        <f>F25*AF25</f>
        <v>0</v>
      </c>
      <c r="AO25" s="107" t="s">
        <v>322</v>
      </c>
      <c r="AP25" s="107" t="s">
        <v>336</v>
      </c>
      <c r="AQ25" s="101" t="s">
        <v>340</v>
      </c>
      <c r="AS25" s="79">
        <f>AM25+AN25</f>
        <v>0</v>
      </c>
      <c r="AT25" s="79">
        <f>G25/(100-AU25)*100</f>
        <v>0</v>
      </c>
      <c r="AU25" s="79">
        <v>0</v>
      </c>
      <c r="AV25" s="79">
        <f>L25</f>
        <v>7.856940000000001</v>
      </c>
    </row>
    <row r="26" spans="1:48" ht="12.75">
      <c r="A26" s="86" t="s">
        <v>80</v>
      </c>
      <c r="B26" s="86"/>
      <c r="C26" s="86" t="s">
        <v>144</v>
      </c>
      <c r="D26" s="86" t="s">
        <v>224</v>
      </c>
      <c r="E26" s="86" t="s">
        <v>289</v>
      </c>
      <c r="F26" s="95">
        <v>201.46</v>
      </c>
      <c r="G26" s="95">
        <v>0</v>
      </c>
      <c r="H26" s="95">
        <f>F26*AE26</f>
        <v>0</v>
      </c>
      <c r="I26" s="95">
        <f>J26-H26</f>
        <v>0</v>
      </c>
      <c r="J26" s="95">
        <f>F26*G26</f>
        <v>0</v>
      </c>
      <c r="K26" s="95">
        <v>0.00651</v>
      </c>
      <c r="L26" s="95">
        <f>F26*K26</f>
        <v>1.3115046000000001</v>
      </c>
      <c r="M26" s="104" t="s">
        <v>308</v>
      </c>
      <c r="P26" s="79">
        <f>IF(AG26="5",J26,0)</f>
        <v>0</v>
      </c>
      <c r="R26" s="79">
        <f>IF(AG26="1",H26,0)</f>
        <v>0</v>
      </c>
      <c r="S26" s="79">
        <f>IF(AG26="1",I26,0)</f>
        <v>0</v>
      </c>
      <c r="T26" s="79">
        <f>IF(AG26="7",H26,0)</f>
        <v>0</v>
      </c>
      <c r="U26" s="79">
        <f>IF(AG26="7",I26,0)</f>
        <v>0</v>
      </c>
      <c r="V26" s="79">
        <f>IF(AG26="2",H26,0)</f>
        <v>0</v>
      </c>
      <c r="W26" s="79">
        <f>IF(AG26="2",I26,0)</f>
        <v>0</v>
      </c>
      <c r="X26" s="79">
        <f>IF(AG26="0",J26,0)</f>
        <v>0</v>
      </c>
      <c r="Y26" s="101"/>
      <c r="Z26" s="95">
        <f>IF(AD26=0,J26,0)</f>
        <v>0</v>
      </c>
      <c r="AA26" s="95">
        <f>IF(AD26=15,J26,0)</f>
        <v>0</v>
      </c>
      <c r="AB26" s="95">
        <f>IF(AD26=21,J26,0)</f>
        <v>0</v>
      </c>
      <c r="AD26" s="79">
        <v>15</v>
      </c>
      <c r="AE26" s="79">
        <f>G26*0.375498392282958</f>
        <v>0</v>
      </c>
      <c r="AF26" s="79">
        <f>G26*(1-0.375498392282958)</f>
        <v>0</v>
      </c>
      <c r="AG26" s="104" t="s">
        <v>72</v>
      </c>
      <c r="AM26" s="79">
        <f>F26*AE26</f>
        <v>0</v>
      </c>
      <c r="AN26" s="79">
        <f>F26*AF26</f>
        <v>0</v>
      </c>
      <c r="AO26" s="107" t="s">
        <v>322</v>
      </c>
      <c r="AP26" s="107" t="s">
        <v>336</v>
      </c>
      <c r="AQ26" s="101" t="s">
        <v>340</v>
      </c>
      <c r="AS26" s="79">
        <f>AM26+AN26</f>
        <v>0</v>
      </c>
      <c r="AT26" s="79">
        <f>G26/(100-AU26)*100</f>
        <v>0</v>
      </c>
      <c r="AU26" s="79">
        <v>0</v>
      </c>
      <c r="AV26" s="79">
        <f>L26</f>
        <v>1.3115046000000001</v>
      </c>
    </row>
    <row r="27" spans="1:48" ht="12.75">
      <c r="A27" s="86" t="s">
        <v>81</v>
      </c>
      <c r="B27" s="86"/>
      <c r="C27" s="86" t="s">
        <v>145</v>
      </c>
      <c r="D27" s="86" t="s">
        <v>225</v>
      </c>
      <c r="E27" s="86" t="s">
        <v>289</v>
      </c>
      <c r="F27" s="95">
        <v>201.46</v>
      </c>
      <c r="G27" s="95">
        <v>0</v>
      </c>
      <c r="H27" s="95">
        <f>F27*AE27</f>
        <v>0</v>
      </c>
      <c r="I27" s="95">
        <f>J27-H27</f>
        <v>0</v>
      </c>
      <c r="J27" s="95">
        <f>F27*G27</f>
        <v>0</v>
      </c>
      <c r="K27" s="95">
        <v>0.00072</v>
      </c>
      <c r="L27" s="95">
        <f>F27*K27</f>
        <v>0.14505120000000002</v>
      </c>
      <c r="M27" s="104" t="s">
        <v>308</v>
      </c>
      <c r="P27" s="79">
        <f>IF(AG27="5",J27,0)</f>
        <v>0</v>
      </c>
      <c r="R27" s="79">
        <f>IF(AG27="1",H27,0)</f>
        <v>0</v>
      </c>
      <c r="S27" s="79">
        <f>IF(AG27="1",I27,0)</f>
        <v>0</v>
      </c>
      <c r="T27" s="79">
        <f>IF(AG27="7",H27,0)</f>
        <v>0</v>
      </c>
      <c r="U27" s="79">
        <f>IF(AG27="7",I27,0)</f>
        <v>0</v>
      </c>
      <c r="V27" s="79">
        <f>IF(AG27="2",H27,0)</f>
        <v>0</v>
      </c>
      <c r="W27" s="79">
        <f>IF(AG27="2",I27,0)</f>
        <v>0</v>
      </c>
      <c r="X27" s="79">
        <f>IF(AG27="0",J27,0)</f>
        <v>0</v>
      </c>
      <c r="Y27" s="101"/>
      <c r="Z27" s="95">
        <f>IF(AD27=0,J27,0)</f>
        <v>0</v>
      </c>
      <c r="AA27" s="95">
        <f>IF(AD27=15,J27,0)</f>
        <v>0</v>
      </c>
      <c r="AB27" s="95">
        <f>IF(AD27=21,J27,0)</f>
        <v>0</v>
      </c>
      <c r="AD27" s="79">
        <v>15</v>
      </c>
      <c r="AE27" s="79">
        <f>G27*0.550348258706468</f>
        <v>0</v>
      </c>
      <c r="AF27" s="79">
        <f>G27*(1-0.550348258706468)</f>
        <v>0</v>
      </c>
      <c r="AG27" s="104" t="s">
        <v>72</v>
      </c>
      <c r="AM27" s="79">
        <f>F27*AE27</f>
        <v>0</v>
      </c>
      <c r="AN27" s="79">
        <f>F27*AF27</f>
        <v>0</v>
      </c>
      <c r="AO27" s="107" t="s">
        <v>322</v>
      </c>
      <c r="AP27" s="107" t="s">
        <v>336</v>
      </c>
      <c r="AQ27" s="101" t="s">
        <v>340</v>
      </c>
      <c r="AS27" s="79">
        <f>AM27+AN27</f>
        <v>0</v>
      </c>
      <c r="AT27" s="79">
        <f>G27/(100-AU27)*100</f>
        <v>0</v>
      </c>
      <c r="AU27" s="79">
        <v>0</v>
      </c>
      <c r="AV27" s="79">
        <f>L27</f>
        <v>0.14505120000000002</v>
      </c>
    </row>
    <row r="28" spans="1:48" ht="12.75">
      <c r="A28" s="86" t="s">
        <v>82</v>
      </c>
      <c r="B28" s="86"/>
      <c r="C28" s="86" t="s">
        <v>146</v>
      </c>
      <c r="D28" s="86" t="s">
        <v>226</v>
      </c>
      <c r="E28" s="86" t="s">
        <v>289</v>
      </c>
      <c r="F28" s="95">
        <v>187.06</v>
      </c>
      <c r="G28" s="95">
        <v>0</v>
      </c>
      <c r="H28" s="95">
        <f>F28*AE28</f>
        <v>0</v>
      </c>
      <c r="I28" s="95">
        <f>J28-H28</f>
        <v>0</v>
      </c>
      <c r="J28" s="95">
        <f>F28*G28</f>
        <v>0</v>
      </c>
      <c r="K28" s="95">
        <v>0.02836</v>
      </c>
      <c r="L28" s="95">
        <f>F28*K28</f>
        <v>5.3050216</v>
      </c>
      <c r="M28" s="104" t="s">
        <v>308</v>
      </c>
      <c r="P28" s="79">
        <f>IF(AG28="5",J28,0)</f>
        <v>0</v>
      </c>
      <c r="R28" s="79">
        <f>IF(AG28="1",H28,0)</f>
        <v>0</v>
      </c>
      <c r="S28" s="79">
        <f>IF(AG28="1",I28,0)</f>
        <v>0</v>
      </c>
      <c r="T28" s="79">
        <f>IF(AG28="7",H28,0)</f>
        <v>0</v>
      </c>
      <c r="U28" s="79">
        <f>IF(AG28="7",I28,0)</f>
        <v>0</v>
      </c>
      <c r="V28" s="79">
        <f>IF(AG28="2",H28,0)</f>
        <v>0</v>
      </c>
      <c r="W28" s="79">
        <f>IF(AG28="2",I28,0)</f>
        <v>0</v>
      </c>
      <c r="X28" s="79">
        <f>IF(AG28="0",J28,0)</f>
        <v>0</v>
      </c>
      <c r="Y28" s="101"/>
      <c r="Z28" s="95">
        <f>IF(AD28=0,J28,0)</f>
        <v>0</v>
      </c>
      <c r="AA28" s="95">
        <f>IF(AD28=15,J28,0)</f>
        <v>0</v>
      </c>
      <c r="AB28" s="95">
        <f>IF(AD28=21,J28,0)</f>
        <v>0</v>
      </c>
      <c r="AD28" s="79">
        <v>15</v>
      </c>
      <c r="AE28" s="79">
        <f>G28*0.179122617501416</f>
        <v>0</v>
      </c>
      <c r="AF28" s="79">
        <f>G28*(1-0.179122617501416)</f>
        <v>0</v>
      </c>
      <c r="AG28" s="104" t="s">
        <v>72</v>
      </c>
      <c r="AM28" s="79">
        <f>F28*AE28</f>
        <v>0</v>
      </c>
      <c r="AN28" s="79">
        <f>F28*AF28</f>
        <v>0</v>
      </c>
      <c r="AO28" s="107" t="s">
        <v>322</v>
      </c>
      <c r="AP28" s="107" t="s">
        <v>336</v>
      </c>
      <c r="AQ28" s="101" t="s">
        <v>340</v>
      </c>
      <c r="AS28" s="79">
        <f>AM28+AN28</f>
        <v>0</v>
      </c>
      <c r="AT28" s="79">
        <f>G28/(100-AU28)*100</f>
        <v>0</v>
      </c>
      <c r="AU28" s="79">
        <v>0</v>
      </c>
      <c r="AV28" s="79">
        <f>L28</f>
        <v>5.3050216</v>
      </c>
    </row>
    <row r="29" spans="1:37" ht="12.75">
      <c r="A29" s="85"/>
      <c r="B29" s="92"/>
      <c r="C29" s="92" t="s">
        <v>147</v>
      </c>
      <c r="D29" s="92" t="s">
        <v>227</v>
      </c>
      <c r="E29" s="85" t="s">
        <v>58</v>
      </c>
      <c r="F29" s="85" t="s">
        <v>58</v>
      </c>
      <c r="G29" s="85" t="s">
        <v>58</v>
      </c>
      <c r="H29" s="109">
        <f>SUM(H30:H31)</f>
        <v>0</v>
      </c>
      <c r="I29" s="109">
        <f>SUM(I30:I31)</f>
        <v>0</v>
      </c>
      <c r="J29" s="109">
        <f>H29+I29</f>
        <v>0</v>
      </c>
      <c r="K29" s="101"/>
      <c r="L29" s="109">
        <f>SUM(L30:L31)</f>
        <v>0.54114</v>
      </c>
      <c r="M29" s="101"/>
      <c r="Y29" s="101"/>
      <c r="AI29" s="109">
        <f>SUM(Z30:Z31)</f>
        <v>0</v>
      </c>
      <c r="AJ29" s="109">
        <f>SUM(AA30:AA31)</f>
        <v>0</v>
      </c>
      <c r="AK29" s="109">
        <f>SUM(AB30:AB31)</f>
        <v>0</v>
      </c>
    </row>
    <row r="30" spans="1:48" ht="12.75">
      <c r="A30" s="86" t="s">
        <v>83</v>
      </c>
      <c r="B30" s="86"/>
      <c r="C30" s="86" t="s">
        <v>148</v>
      </c>
      <c r="D30" s="86" t="s">
        <v>228</v>
      </c>
      <c r="E30" s="86" t="s">
        <v>292</v>
      </c>
      <c r="F30" s="95">
        <v>26.4</v>
      </c>
      <c r="G30" s="95">
        <v>0</v>
      </c>
      <c r="H30" s="95">
        <f>F30*AE30</f>
        <v>0</v>
      </c>
      <c r="I30" s="95">
        <f>J30-H30</f>
        <v>0</v>
      </c>
      <c r="J30" s="95">
        <f>F30*G30</f>
        <v>0</v>
      </c>
      <c r="K30" s="95">
        <v>0.01966</v>
      </c>
      <c r="L30" s="95">
        <f>F30*K30</f>
        <v>0.5190239999999999</v>
      </c>
      <c r="M30" s="104" t="s">
        <v>308</v>
      </c>
      <c r="P30" s="79">
        <f>IF(AG30="5",J30,0)</f>
        <v>0</v>
      </c>
      <c r="R30" s="79">
        <f>IF(AG30="1",H30,0)</f>
        <v>0</v>
      </c>
      <c r="S30" s="79">
        <f>IF(AG30="1",I30,0)</f>
        <v>0</v>
      </c>
      <c r="T30" s="79">
        <f>IF(AG30="7",H30,0)</f>
        <v>0</v>
      </c>
      <c r="U30" s="79">
        <f>IF(AG30="7",I30,0)</f>
        <v>0</v>
      </c>
      <c r="V30" s="79">
        <f>IF(AG30="2",H30,0)</f>
        <v>0</v>
      </c>
      <c r="W30" s="79">
        <f>IF(AG30="2",I30,0)</f>
        <v>0</v>
      </c>
      <c r="X30" s="79">
        <f>IF(AG30="0",J30,0)</f>
        <v>0</v>
      </c>
      <c r="Y30" s="101"/>
      <c r="Z30" s="95">
        <f>IF(AD30=0,J30,0)</f>
        <v>0</v>
      </c>
      <c r="AA30" s="95">
        <f>IF(AD30=15,J30,0)</f>
        <v>0</v>
      </c>
      <c r="AB30" s="95">
        <f>IF(AD30=21,J30,0)</f>
        <v>0</v>
      </c>
      <c r="AD30" s="79">
        <v>15</v>
      </c>
      <c r="AE30" s="79">
        <f>G30*0.447</f>
        <v>0</v>
      </c>
      <c r="AF30" s="79">
        <f>G30*(1-0.447)</f>
        <v>0</v>
      </c>
      <c r="AG30" s="104" t="s">
        <v>78</v>
      </c>
      <c r="AM30" s="79">
        <f>F30*AE30</f>
        <v>0</v>
      </c>
      <c r="AN30" s="79">
        <f>F30*AF30</f>
        <v>0</v>
      </c>
      <c r="AO30" s="107" t="s">
        <v>323</v>
      </c>
      <c r="AP30" s="107" t="s">
        <v>337</v>
      </c>
      <c r="AQ30" s="101" t="s">
        <v>340</v>
      </c>
      <c r="AS30" s="79">
        <f>AM30+AN30</f>
        <v>0</v>
      </c>
      <c r="AT30" s="79">
        <f>G30/(100-AU30)*100</f>
        <v>0</v>
      </c>
      <c r="AU30" s="79">
        <v>0</v>
      </c>
      <c r="AV30" s="79">
        <f>L30</f>
        <v>0.5190239999999999</v>
      </c>
    </row>
    <row r="31" spans="1:48" ht="12.75">
      <c r="A31" s="86" t="s">
        <v>84</v>
      </c>
      <c r="B31" s="86"/>
      <c r="C31" s="86" t="s">
        <v>149</v>
      </c>
      <c r="D31" s="86" t="s">
        <v>229</v>
      </c>
      <c r="E31" s="86" t="s">
        <v>290</v>
      </c>
      <c r="F31" s="95">
        <v>0.76</v>
      </c>
      <c r="G31" s="95">
        <v>0</v>
      </c>
      <c r="H31" s="95">
        <f>F31*AE31</f>
        <v>0</v>
      </c>
      <c r="I31" s="95">
        <f>J31-H31</f>
        <v>0</v>
      </c>
      <c r="J31" s="95">
        <f>F31*G31</f>
        <v>0</v>
      </c>
      <c r="K31" s="95">
        <v>0.0291</v>
      </c>
      <c r="L31" s="95">
        <f>F31*K31</f>
        <v>0.022116</v>
      </c>
      <c r="M31" s="104" t="s">
        <v>308</v>
      </c>
      <c r="P31" s="79">
        <f>IF(AG31="5",J31,0)</f>
        <v>0</v>
      </c>
      <c r="R31" s="79">
        <f>IF(AG31="1",H31,0)</f>
        <v>0</v>
      </c>
      <c r="S31" s="79">
        <f>IF(AG31="1",I31,0)</f>
        <v>0</v>
      </c>
      <c r="T31" s="79">
        <f>IF(AG31="7",H31,0)</f>
        <v>0</v>
      </c>
      <c r="U31" s="79">
        <f>IF(AG31="7",I31,0)</f>
        <v>0</v>
      </c>
      <c r="V31" s="79">
        <f>IF(AG31="2",H31,0)</f>
        <v>0</v>
      </c>
      <c r="W31" s="79">
        <f>IF(AG31="2",I31,0)</f>
        <v>0</v>
      </c>
      <c r="X31" s="79">
        <f>IF(AG31="0",J31,0)</f>
        <v>0</v>
      </c>
      <c r="Y31" s="101"/>
      <c r="Z31" s="95">
        <f>IF(AD31=0,J31,0)</f>
        <v>0</v>
      </c>
      <c r="AA31" s="95">
        <f>IF(AD31=15,J31,0)</f>
        <v>0</v>
      </c>
      <c r="AB31" s="95">
        <f>IF(AD31=21,J31,0)</f>
        <v>0</v>
      </c>
      <c r="AD31" s="79">
        <v>15</v>
      </c>
      <c r="AE31" s="79">
        <f>G31*1</f>
        <v>0</v>
      </c>
      <c r="AF31" s="79">
        <f>G31*(1-1)</f>
        <v>0</v>
      </c>
      <c r="AG31" s="104" t="s">
        <v>78</v>
      </c>
      <c r="AM31" s="79">
        <f>F31*AE31</f>
        <v>0</v>
      </c>
      <c r="AN31" s="79">
        <f>F31*AF31</f>
        <v>0</v>
      </c>
      <c r="AO31" s="107" t="s">
        <v>323</v>
      </c>
      <c r="AP31" s="107" t="s">
        <v>337</v>
      </c>
      <c r="AQ31" s="101" t="s">
        <v>340</v>
      </c>
      <c r="AS31" s="79">
        <f>AM31+AN31</f>
        <v>0</v>
      </c>
      <c r="AT31" s="79">
        <f>G31/(100-AU31)*100</f>
        <v>0</v>
      </c>
      <c r="AU31" s="79">
        <v>0</v>
      </c>
      <c r="AV31" s="79">
        <f>L31</f>
        <v>0.022116</v>
      </c>
    </row>
    <row r="32" spans="1:37" ht="12.75">
      <c r="A32" s="85"/>
      <c r="B32" s="92"/>
      <c r="C32" s="92" t="s">
        <v>150</v>
      </c>
      <c r="D32" s="92" t="s">
        <v>230</v>
      </c>
      <c r="E32" s="85" t="s">
        <v>58</v>
      </c>
      <c r="F32" s="85" t="s">
        <v>58</v>
      </c>
      <c r="G32" s="85" t="s">
        <v>58</v>
      </c>
      <c r="H32" s="109">
        <f>SUM(H33:H47)</f>
        <v>0</v>
      </c>
      <c r="I32" s="109">
        <f>SUM(I33:I47)</f>
        <v>0</v>
      </c>
      <c r="J32" s="109">
        <f>H32+I32</f>
        <v>0</v>
      </c>
      <c r="K32" s="101"/>
      <c r="L32" s="109">
        <f>SUM(L33:L47)</f>
        <v>0.3630499</v>
      </c>
      <c r="M32" s="101"/>
      <c r="Y32" s="101"/>
      <c r="AI32" s="109">
        <f>SUM(Z33:Z47)</f>
        <v>0</v>
      </c>
      <c r="AJ32" s="109">
        <f>SUM(AA33:AA47)</f>
        <v>0</v>
      </c>
      <c r="AK32" s="109">
        <f>SUM(AB33:AB47)</f>
        <v>0</v>
      </c>
    </row>
    <row r="33" spans="1:48" ht="12.75">
      <c r="A33" s="86" t="s">
        <v>85</v>
      </c>
      <c r="B33" s="86"/>
      <c r="C33" s="86" t="s">
        <v>151</v>
      </c>
      <c r="D33" s="86" t="s">
        <v>231</v>
      </c>
      <c r="E33" s="86" t="s">
        <v>292</v>
      </c>
      <c r="F33" s="95">
        <v>3.6</v>
      </c>
      <c r="G33" s="95">
        <v>0</v>
      </c>
      <c r="H33" s="95">
        <f>F33*AE33</f>
        <v>0</v>
      </c>
      <c r="I33" s="95">
        <f>J33-H33</f>
        <v>0</v>
      </c>
      <c r="J33" s="95">
        <f>F33*G33</f>
        <v>0</v>
      </c>
      <c r="K33" s="95">
        <v>0.00287</v>
      </c>
      <c r="L33" s="95">
        <f>F33*K33</f>
        <v>0.010332000000000001</v>
      </c>
      <c r="M33" s="104" t="s">
        <v>308</v>
      </c>
      <c r="P33" s="79">
        <f>IF(AG33="5",J33,0)</f>
        <v>0</v>
      </c>
      <c r="R33" s="79">
        <f>IF(AG33="1",H33,0)</f>
        <v>0</v>
      </c>
      <c r="S33" s="79">
        <f>IF(AG33="1",I33,0)</f>
        <v>0</v>
      </c>
      <c r="T33" s="79">
        <f>IF(AG33="7",H33,0)</f>
        <v>0</v>
      </c>
      <c r="U33" s="79">
        <f>IF(AG33="7",I33,0)</f>
        <v>0</v>
      </c>
      <c r="V33" s="79">
        <f>IF(AG33="2",H33,0)</f>
        <v>0</v>
      </c>
      <c r="W33" s="79">
        <f>IF(AG33="2",I33,0)</f>
        <v>0</v>
      </c>
      <c r="X33" s="79">
        <f>IF(AG33="0",J33,0)</f>
        <v>0</v>
      </c>
      <c r="Y33" s="101"/>
      <c r="Z33" s="95">
        <f>IF(AD33=0,J33,0)</f>
        <v>0</v>
      </c>
      <c r="AA33" s="95">
        <f>IF(AD33=15,J33,0)</f>
        <v>0</v>
      </c>
      <c r="AB33" s="95">
        <f>IF(AD33=21,J33,0)</f>
        <v>0</v>
      </c>
      <c r="AD33" s="79">
        <v>15</v>
      </c>
      <c r="AE33" s="79">
        <f>G33*0</f>
        <v>0</v>
      </c>
      <c r="AF33" s="79">
        <f>G33*(1-0)</f>
        <v>0</v>
      </c>
      <c r="AG33" s="104" t="s">
        <v>78</v>
      </c>
      <c r="AM33" s="79">
        <f>F33*AE33</f>
        <v>0</v>
      </c>
      <c r="AN33" s="79">
        <f>F33*AF33</f>
        <v>0</v>
      </c>
      <c r="AO33" s="107" t="s">
        <v>324</v>
      </c>
      <c r="AP33" s="107" t="s">
        <v>337</v>
      </c>
      <c r="AQ33" s="101" t="s">
        <v>340</v>
      </c>
      <c r="AS33" s="79">
        <f>AM33+AN33</f>
        <v>0</v>
      </c>
      <c r="AT33" s="79">
        <f>G33/(100-AU33)*100</f>
        <v>0</v>
      </c>
      <c r="AU33" s="79">
        <v>0</v>
      </c>
      <c r="AV33" s="79">
        <f>L33</f>
        <v>0.010332000000000001</v>
      </c>
    </row>
    <row r="34" spans="1:48" ht="12.75">
      <c r="A34" s="86" t="s">
        <v>86</v>
      </c>
      <c r="B34" s="86"/>
      <c r="C34" s="86" t="s">
        <v>152</v>
      </c>
      <c r="D34" s="86" t="s">
        <v>232</v>
      </c>
      <c r="E34" s="86" t="s">
        <v>292</v>
      </c>
      <c r="F34" s="95">
        <v>15.38</v>
      </c>
      <c r="G34" s="95">
        <v>0</v>
      </c>
      <c r="H34" s="95">
        <f>F34*AE34</f>
        <v>0</v>
      </c>
      <c r="I34" s="95">
        <f>J34-H34</f>
        <v>0</v>
      </c>
      <c r="J34" s="95">
        <f>F34*G34</f>
        <v>0</v>
      </c>
      <c r="K34" s="95">
        <v>0.00252</v>
      </c>
      <c r="L34" s="95">
        <f>F34*K34</f>
        <v>0.0387576</v>
      </c>
      <c r="M34" s="104" t="s">
        <v>308</v>
      </c>
      <c r="P34" s="79">
        <f>IF(AG34="5",J34,0)</f>
        <v>0</v>
      </c>
      <c r="R34" s="79">
        <f>IF(AG34="1",H34,0)</f>
        <v>0</v>
      </c>
      <c r="S34" s="79">
        <f>IF(AG34="1",I34,0)</f>
        <v>0</v>
      </c>
      <c r="T34" s="79">
        <f>IF(AG34="7",H34,0)</f>
        <v>0</v>
      </c>
      <c r="U34" s="79">
        <f>IF(AG34="7",I34,0)</f>
        <v>0</v>
      </c>
      <c r="V34" s="79">
        <f>IF(AG34="2",H34,0)</f>
        <v>0</v>
      </c>
      <c r="W34" s="79">
        <f>IF(AG34="2",I34,0)</f>
        <v>0</v>
      </c>
      <c r="X34" s="79">
        <f>IF(AG34="0",J34,0)</f>
        <v>0</v>
      </c>
      <c r="Y34" s="101"/>
      <c r="Z34" s="95">
        <f>IF(AD34=0,J34,0)</f>
        <v>0</v>
      </c>
      <c r="AA34" s="95">
        <f>IF(AD34=15,J34,0)</f>
        <v>0</v>
      </c>
      <c r="AB34" s="95">
        <f>IF(AD34=21,J34,0)</f>
        <v>0</v>
      </c>
      <c r="AD34" s="79">
        <v>15</v>
      </c>
      <c r="AE34" s="79">
        <f>G34*0</f>
        <v>0</v>
      </c>
      <c r="AF34" s="79">
        <f>G34*(1-0)</f>
        <v>0</v>
      </c>
      <c r="AG34" s="104" t="s">
        <v>78</v>
      </c>
      <c r="AM34" s="79">
        <f>F34*AE34</f>
        <v>0</v>
      </c>
      <c r="AN34" s="79">
        <f>F34*AF34</f>
        <v>0</v>
      </c>
      <c r="AO34" s="107" t="s">
        <v>324</v>
      </c>
      <c r="AP34" s="107" t="s">
        <v>337</v>
      </c>
      <c r="AQ34" s="101" t="s">
        <v>340</v>
      </c>
      <c r="AS34" s="79">
        <f>AM34+AN34</f>
        <v>0</v>
      </c>
      <c r="AT34" s="79">
        <f>G34/(100-AU34)*100</f>
        <v>0</v>
      </c>
      <c r="AU34" s="79">
        <v>0</v>
      </c>
      <c r="AV34" s="79">
        <f>L34</f>
        <v>0.0387576</v>
      </c>
    </row>
    <row r="35" spans="1:48" ht="12.75">
      <c r="A35" s="86" t="s">
        <v>87</v>
      </c>
      <c r="B35" s="86"/>
      <c r="C35" s="86" t="s">
        <v>153</v>
      </c>
      <c r="D35" s="86" t="s">
        <v>233</v>
      </c>
      <c r="E35" s="86" t="s">
        <v>292</v>
      </c>
      <c r="F35" s="95">
        <v>41.49</v>
      </c>
      <c r="G35" s="95">
        <v>0</v>
      </c>
      <c r="H35" s="95">
        <f>F35*AE35</f>
        <v>0</v>
      </c>
      <c r="I35" s="95">
        <f>J35-H35</f>
        <v>0</v>
      </c>
      <c r="J35" s="95">
        <f>F35*G35</f>
        <v>0</v>
      </c>
      <c r="K35" s="95">
        <v>0.0023</v>
      </c>
      <c r="L35" s="95">
        <f>F35*K35</f>
        <v>0.095427</v>
      </c>
      <c r="M35" s="104" t="s">
        <v>308</v>
      </c>
      <c r="P35" s="79">
        <f>IF(AG35="5",J35,0)</f>
        <v>0</v>
      </c>
      <c r="R35" s="79">
        <f>IF(AG35="1",H35,0)</f>
        <v>0</v>
      </c>
      <c r="S35" s="79">
        <f>IF(AG35="1",I35,0)</f>
        <v>0</v>
      </c>
      <c r="T35" s="79">
        <f>IF(AG35="7",H35,0)</f>
        <v>0</v>
      </c>
      <c r="U35" s="79">
        <f>IF(AG35="7",I35,0)</f>
        <v>0</v>
      </c>
      <c r="V35" s="79">
        <f>IF(AG35="2",H35,0)</f>
        <v>0</v>
      </c>
      <c r="W35" s="79">
        <f>IF(AG35="2",I35,0)</f>
        <v>0</v>
      </c>
      <c r="X35" s="79">
        <f>IF(AG35="0",J35,0)</f>
        <v>0</v>
      </c>
      <c r="Y35" s="101"/>
      <c r="Z35" s="95">
        <f>IF(AD35=0,J35,0)</f>
        <v>0</v>
      </c>
      <c r="AA35" s="95">
        <f>IF(AD35=15,J35,0)</f>
        <v>0</v>
      </c>
      <c r="AB35" s="95">
        <f>IF(AD35=21,J35,0)</f>
        <v>0</v>
      </c>
      <c r="AD35" s="79">
        <v>15</v>
      </c>
      <c r="AE35" s="79">
        <f>G35*0</f>
        <v>0</v>
      </c>
      <c r="AF35" s="79">
        <f>G35*(1-0)</f>
        <v>0</v>
      </c>
      <c r="AG35" s="104" t="s">
        <v>78</v>
      </c>
      <c r="AM35" s="79">
        <f>F35*AE35</f>
        <v>0</v>
      </c>
      <c r="AN35" s="79">
        <f>F35*AF35</f>
        <v>0</v>
      </c>
      <c r="AO35" s="107" t="s">
        <v>324</v>
      </c>
      <c r="AP35" s="107" t="s">
        <v>337</v>
      </c>
      <c r="AQ35" s="101" t="s">
        <v>340</v>
      </c>
      <c r="AS35" s="79">
        <f>AM35+AN35</f>
        <v>0</v>
      </c>
      <c r="AT35" s="79">
        <f>G35/(100-AU35)*100</f>
        <v>0</v>
      </c>
      <c r="AU35" s="79">
        <v>0</v>
      </c>
      <c r="AV35" s="79">
        <f>L35</f>
        <v>0.095427</v>
      </c>
    </row>
    <row r="36" spans="1:48" ht="12.75">
      <c r="A36" s="86" t="s">
        <v>88</v>
      </c>
      <c r="B36" s="86"/>
      <c r="C36" s="86" t="s">
        <v>154</v>
      </c>
      <c r="D36" s="86" t="s">
        <v>234</v>
      </c>
      <c r="E36" s="86" t="s">
        <v>289</v>
      </c>
      <c r="F36" s="95">
        <v>5.3</v>
      </c>
      <c r="G36" s="95">
        <v>0</v>
      </c>
      <c r="H36" s="95">
        <f>F36*AE36</f>
        <v>0</v>
      </c>
      <c r="I36" s="95">
        <f>J36-H36</f>
        <v>0</v>
      </c>
      <c r="J36" s="95">
        <f>F36*G36</f>
        <v>0</v>
      </c>
      <c r="K36" s="95">
        <v>0.00721</v>
      </c>
      <c r="L36" s="95">
        <f>F36*K36</f>
        <v>0.038213</v>
      </c>
      <c r="M36" s="104" t="s">
        <v>308</v>
      </c>
      <c r="P36" s="79">
        <f>IF(AG36="5",J36,0)</f>
        <v>0</v>
      </c>
      <c r="R36" s="79">
        <f>IF(AG36="1",H36,0)</f>
        <v>0</v>
      </c>
      <c r="S36" s="79">
        <f>IF(AG36="1",I36,0)</f>
        <v>0</v>
      </c>
      <c r="T36" s="79">
        <f>IF(AG36="7",H36,0)</f>
        <v>0</v>
      </c>
      <c r="U36" s="79">
        <f>IF(AG36="7",I36,0)</f>
        <v>0</v>
      </c>
      <c r="V36" s="79">
        <f>IF(AG36="2",H36,0)</f>
        <v>0</v>
      </c>
      <c r="W36" s="79">
        <f>IF(AG36="2",I36,0)</f>
        <v>0</v>
      </c>
      <c r="X36" s="79">
        <f>IF(AG36="0",J36,0)</f>
        <v>0</v>
      </c>
      <c r="Y36" s="101"/>
      <c r="Z36" s="95">
        <f>IF(AD36=0,J36,0)</f>
        <v>0</v>
      </c>
      <c r="AA36" s="95">
        <f>IF(AD36=15,J36,0)</f>
        <v>0</v>
      </c>
      <c r="AB36" s="95">
        <f>IF(AD36=21,J36,0)</f>
        <v>0</v>
      </c>
      <c r="AD36" s="79">
        <v>15</v>
      </c>
      <c r="AE36" s="79">
        <f>G36*0</f>
        <v>0</v>
      </c>
      <c r="AF36" s="79">
        <f>G36*(1-0)</f>
        <v>0</v>
      </c>
      <c r="AG36" s="104" t="s">
        <v>78</v>
      </c>
      <c r="AM36" s="79">
        <f>F36*AE36</f>
        <v>0</v>
      </c>
      <c r="AN36" s="79">
        <f>F36*AF36</f>
        <v>0</v>
      </c>
      <c r="AO36" s="107" t="s">
        <v>324</v>
      </c>
      <c r="AP36" s="107" t="s">
        <v>337</v>
      </c>
      <c r="AQ36" s="101" t="s">
        <v>340</v>
      </c>
      <c r="AS36" s="79">
        <f>AM36+AN36</f>
        <v>0</v>
      </c>
      <c r="AT36" s="79">
        <f>G36/(100-AU36)*100</f>
        <v>0</v>
      </c>
      <c r="AU36" s="79">
        <v>0</v>
      </c>
      <c r="AV36" s="79">
        <f>L36</f>
        <v>0.038213</v>
      </c>
    </row>
    <row r="37" spans="1:48" ht="12.75">
      <c r="A37" s="86" t="s">
        <v>89</v>
      </c>
      <c r="B37" s="86"/>
      <c r="C37" s="86" t="s">
        <v>155</v>
      </c>
      <c r="D37" s="86" t="s">
        <v>235</v>
      </c>
      <c r="E37" s="86" t="s">
        <v>292</v>
      </c>
      <c r="F37" s="95">
        <v>2.52</v>
      </c>
      <c r="G37" s="95">
        <v>0</v>
      </c>
      <c r="H37" s="95">
        <f>F37*AE37</f>
        <v>0</v>
      </c>
      <c r="I37" s="95">
        <f>J37-H37</f>
        <v>0</v>
      </c>
      <c r="J37" s="95">
        <f>F37*G37</f>
        <v>0</v>
      </c>
      <c r="K37" s="95">
        <v>0.00337</v>
      </c>
      <c r="L37" s="95">
        <f>F37*K37</f>
        <v>0.0084924</v>
      </c>
      <c r="M37" s="104" t="s">
        <v>308</v>
      </c>
      <c r="P37" s="79">
        <f>IF(AG37="5",J37,0)</f>
        <v>0</v>
      </c>
      <c r="R37" s="79">
        <f>IF(AG37="1",H37,0)</f>
        <v>0</v>
      </c>
      <c r="S37" s="79">
        <f>IF(AG37="1",I37,0)</f>
        <v>0</v>
      </c>
      <c r="T37" s="79">
        <f>IF(AG37="7",H37,0)</f>
        <v>0</v>
      </c>
      <c r="U37" s="79">
        <f>IF(AG37="7",I37,0)</f>
        <v>0</v>
      </c>
      <c r="V37" s="79">
        <f>IF(AG37="2",H37,0)</f>
        <v>0</v>
      </c>
      <c r="W37" s="79">
        <f>IF(AG37="2",I37,0)</f>
        <v>0</v>
      </c>
      <c r="X37" s="79">
        <f>IF(AG37="0",J37,0)</f>
        <v>0</v>
      </c>
      <c r="Y37" s="101"/>
      <c r="Z37" s="95">
        <f>IF(AD37=0,J37,0)</f>
        <v>0</v>
      </c>
      <c r="AA37" s="95">
        <f>IF(AD37=15,J37,0)</f>
        <v>0</v>
      </c>
      <c r="AB37" s="95">
        <f>IF(AD37=21,J37,0)</f>
        <v>0</v>
      </c>
      <c r="AD37" s="79">
        <v>15</v>
      </c>
      <c r="AE37" s="79">
        <f>G37*0</f>
        <v>0</v>
      </c>
      <c r="AF37" s="79">
        <f>G37*(1-0)</f>
        <v>0</v>
      </c>
      <c r="AG37" s="104" t="s">
        <v>78</v>
      </c>
      <c r="AM37" s="79">
        <f>F37*AE37</f>
        <v>0</v>
      </c>
      <c r="AN37" s="79">
        <f>F37*AF37</f>
        <v>0</v>
      </c>
      <c r="AO37" s="107" t="s">
        <v>324</v>
      </c>
      <c r="AP37" s="107" t="s">
        <v>337</v>
      </c>
      <c r="AQ37" s="101" t="s">
        <v>340</v>
      </c>
      <c r="AS37" s="79">
        <f>AM37+AN37</f>
        <v>0</v>
      </c>
      <c r="AT37" s="79">
        <f>G37/(100-AU37)*100</f>
        <v>0</v>
      </c>
      <c r="AU37" s="79">
        <v>0</v>
      </c>
      <c r="AV37" s="79">
        <f>L37</f>
        <v>0.0084924</v>
      </c>
    </row>
    <row r="38" spans="1:48" ht="12.75">
      <c r="A38" s="86" t="s">
        <v>90</v>
      </c>
      <c r="B38" s="86"/>
      <c r="C38" s="86" t="s">
        <v>156</v>
      </c>
      <c r="D38" s="86" t="s">
        <v>236</v>
      </c>
      <c r="E38" s="86" t="s">
        <v>292</v>
      </c>
      <c r="F38" s="95">
        <v>2.52</v>
      </c>
      <c r="G38" s="95">
        <v>0</v>
      </c>
      <c r="H38" s="95">
        <f>F38*AE38</f>
        <v>0</v>
      </c>
      <c r="I38" s="95">
        <f>J38-H38</f>
        <v>0</v>
      </c>
      <c r="J38" s="95">
        <f>F38*G38</f>
        <v>0</v>
      </c>
      <c r="K38" s="95">
        <v>0.00337</v>
      </c>
      <c r="L38" s="95">
        <f>F38*K38</f>
        <v>0.0084924</v>
      </c>
      <c r="M38" s="104" t="s">
        <v>308</v>
      </c>
      <c r="P38" s="79">
        <f>IF(AG38="5",J38,0)</f>
        <v>0</v>
      </c>
      <c r="R38" s="79">
        <f>IF(AG38="1",H38,0)</f>
        <v>0</v>
      </c>
      <c r="S38" s="79">
        <f>IF(AG38="1",I38,0)</f>
        <v>0</v>
      </c>
      <c r="T38" s="79">
        <f>IF(AG38="7",H38,0)</f>
        <v>0</v>
      </c>
      <c r="U38" s="79">
        <f>IF(AG38="7",I38,0)</f>
        <v>0</v>
      </c>
      <c r="V38" s="79">
        <f>IF(AG38="2",H38,0)</f>
        <v>0</v>
      </c>
      <c r="W38" s="79">
        <f>IF(AG38="2",I38,0)</f>
        <v>0</v>
      </c>
      <c r="X38" s="79">
        <f>IF(AG38="0",J38,0)</f>
        <v>0</v>
      </c>
      <c r="Y38" s="101"/>
      <c r="Z38" s="95">
        <f>IF(AD38=0,J38,0)</f>
        <v>0</v>
      </c>
      <c r="AA38" s="95">
        <f>IF(AD38=15,J38,0)</f>
        <v>0</v>
      </c>
      <c r="AB38" s="95">
        <f>IF(AD38=21,J38,0)</f>
        <v>0</v>
      </c>
      <c r="AD38" s="79">
        <v>15</v>
      </c>
      <c r="AE38" s="79">
        <f>G38*0.445315487571702</f>
        <v>0</v>
      </c>
      <c r="AF38" s="79">
        <f>G38*(1-0.445315487571702)</f>
        <v>0</v>
      </c>
      <c r="AG38" s="104" t="s">
        <v>78</v>
      </c>
      <c r="AM38" s="79">
        <f>F38*AE38</f>
        <v>0</v>
      </c>
      <c r="AN38" s="79">
        <f>F38*AF38</f>
        <v>0</v>
      </c>
      <c r="AO38" s="107" t="s">
        <v>324</v>
      </c>
      <c r="AP38" s="107" t="s">
        <v>337</v>
      </c>
      <c r="AQ38" s="101" t="s">
        <v>340</v>
      </c>
      <c r="AS38" s="79">
        <f>AM38+AN38</f>
        <v>0</v>
      </c>
      <c r="AT38" s="79">
        <f>G38/(100-AU38)*100</f>
        <v>0</v>
      </c>
      <c r="AU38" s="79">
        <v>0</v>
      </c>
      <c r="AV38" s="79">
        <f>L38</f>
        <v>0.0084924</v>
      </c>
    </row>
    <row r="39" spans="1:48" ht="12.75">
      <c r="A39" s="86" t="s">
        <v>91</v>
      </c>
      <c r="B39" s="86"/>
      <c r="C39" s="86" t="s">
        <v>157</v>
      </c>
      <c r="D39" s="86" t="s">
        <v>237</v>
      </c>
      <c r="E39" s="86" t="s">
        <v>292</v>
      </c>
      <c r="F39" s="95">
        <v>3.6</v>
      </c>
      <c r="G39" s="95">
        <v>0</v>
      </c>
      <c r="H39" s="95">
        <f>F39*AE39</f>
        <v>0</v>
      </c>
      <c r="I39" s="95">
        <f>J39-H39</f>
        <v>0</v>
      </c>
      <c r="J39" s="95">
        <f>F39*G39</f>
        <v>0</v>
      </c>
      <c r="K39" s="95">
        <v>0.00341</v>
      </c>
      <c r="L39" s="95">
        <f>F39*K39</f>
        <v>0.012276</v>
      </c>
      <c r="M39" s="104" t="s">
        <v>308</v>
      </c>
      <c r="P39" s="79">
        <f>IF(AG39="5",J39,0)</f>
        <v>0</v>
      </c>
      <c r="R39" s="79">
        <f>IF(AG39="1",H39,0)</f>
        <v>0</v>
      </c>
      <c r="S39" s="79">
        <f>IF(AG39="1",I39,0)</f>
        <v>0</v>
      </c>
      <c r="T39" s="79">
        <f>IF(AG39="7",H39,0)</f>
        <v>0</v>
      </c>
      <c r="U39" s="79">
        <f>IF(AG39="7",I39,0)</f>
        <v>0</v>
      </c>
      <c r="V39" s="79">
        <f>IF(AG39="2",H39,0)</f>
        <v>0</v>
      </c>
      <c r="W39" s="79">
        <f>IF(AG39="2",I39,0)</f>
        <v>0</v>
      </c>
      <c r="X39" s="79">
        <f>IF(AG39="0",J39,0)</f>
        <v>0</v>
      </c>
      <c r="Y39" s="101"/>
      <c r="Z39" s="95">
        <f>IF(AD39=0,J39,0)</f>
        <v>0</v>
      </c>
      <c r="AA39" s="95">
        <f>IF(AD39=15,J39,0)</f>
        <v>0</v>
      </c>
      <c r="AB39" s="95">
        <f>IF(AD39=21,J39,0)</f>
        <v>0</v>
      </c>
      <c r="AD39" s="79">
        <v>15</v>
      </c>
      <c r="AE39" s="79">
        <f>G39*0.409695431472081</f>
        <v>0</v>
      </c>
      <c r="AF39" s="79">
        <f>G39*(1-0.409695431472081)</f>
        <v>0</v>
      </c>
      <c r="AG39" s="104" t="s">
        <v>78</v>
      </c>
      <c r="AM39" s="79">
        <f>F39*AE39</f>
        <v>0</v>
      </c>
      <c r="AN39" s="79">
        <f>F39*AF39</f>
        <v>0</v>
      </c>
      <c r="AO39" s="107" t="s">
        <v>324</v>
      </c>
      <c r="AP39" s="107" t="s">
        <v>337</v>
      </c>
      <c r="AQ39" s="101" t="s">
        <v>340</v>
      </c>
      <c r="AS39" s="79">
        <f>AM39+AN39</f>
        <v>0</v>
      </c>
      <c r="AT39" s="79">
        <f>G39/(100-AU39)*100</f>
        <v>0</v>
      </c>
      <c r="AU39" s="79">
        <v>0</v>
      </c>
      <c r="AV39" s="79">
        <f>L39</f>
        <v>0.012276</v>
      </c>
    </row>
    <row r="40" spans="1:48" ht="12.75">
      <c r="A40" s="86" t="s">
        <v>92</v>
      </c>
      <c r="B40" s="86"/>
      <c r="C40" s="86" t="s">
        <v>158</v>
      </c>
      <c r="D40" s="86" t="s">
        <v>238</v>
      </c>
      <c r="E40" s="86" t="s">
        <v>292</v>
      </c>
      <c r="F40" s="95">
        <v>11.02</v>
      </c>
      <c r="G40" s="95">
        <v>0</v>
      </c>
      <c r="H40" s="95">
        <f>F40*AE40</f>
        <v>0</v>
      </c>
      <c r="I40" s="95">
        <f>J40-H40</f>
        <v>0</v>
      </c>
      <c r="J40" s="95">
        <f>F40*G40</f>
        <v>0</v>
      </c>
      <c r="K40" s="95">
        <v>0.00232</v>
      </c>
      <c r="L40" s="95">
        <f>F40*K40</f>
        <v>0.0255664</v>
      </c>
      <c r="M40" s="104" t="s">
        <v>308</v>
      </c>
      <c r="P40" s="79">
        <f>IF(AG40="5",J40,0)</f>
        <v>0</v>
      </c>
      <c r="R40" s="79">
        <f>IF(AG40="1",H40,0)</f>
        <v>0</v>
      </c>
      <c r="S40" s="79">
        <f>IF(AG40="1",I40,0)</f>
        <v>0</v>
      </c>
      <c r="T40" s="79">
        <f>IF(AG40="7",H40,0)</f>
        <v>0</v>
      </c>
      <c r="U40" s="79">
        <f>IF(AG40="7",I40,0)</f>
        <v>0</v>
      </c>
      <c r="V40" s="79">
        <f>IF(AG40="2",H40,0)</f>
        <v>0</v>
      </c>
      <c r="W40" s="79">
        <f>IF(AG40="2",I40,0)</f>
        <v>0</v>
      </c>
      <c r="X40" s="79">
        <f>IF(AG40="0",J40,0)</f>
        <v>0</v>
      </c>
      <c r="Y40" s="101"/>
      <c r="Z40" s="95">
        <f>IF(AD40=0,J40,0)</f>
        <v>0</v>
      </c>
      <c r="AA40" s="95">
        <f>IF(AD40=15,J40,0)</f>
        <v>0</v>
      </c>
      <c r="AB40" s="95">
        <f>IF(AD40=21,J40,0)</f>
        <v>0</v>
      </c>
      <c r="AD40" s="79">
        <v>15</v>
      </c>
      <c r="AE40" s="79">
        <f>G40*0.523035714285714</f>
        <v>0</v>
      </c>
      <c r="AF40" s="79">
        <f>G40*(1-0.523035714285714)</f>
        <v>0</v>
      </c>
      <c r="AG40" s="104" t="s">
        <v>78</v>
      </c>
      <c r="AM40" s="79">
        <f>F40*AE40</f>
        <v>0</v>
      </c>
      <c r="AN40" s="79">
        <f>F40*AF40</f>
        <v>0</v>
      </c>
      <c r="AO40" s="107" t="s">
        <v>324</v>
      </c>
      <c r="AP40" s="107" t="s">
        <v>337</v>
      </c>
      <c r="AQ40" s="101" t="s">
        <v>340</v>
      </c>
      <c r="AS40" s="79">
        <f>AM40+AN40</f>
        <v>0</v>
      </c>
      <c r="AT40" s="79">
        <f>G40/(100-AU40)*100</f>
        <v>0</v>
      </c>
      <c r="AU40" s="79">
        <v>0</v>
      </c>
      <c r="AV40" s="79">
        <f>L40</f>
        <v>0.0255664</v>
      </c>
    </row>
    <row r="41" spans="1:48" ht="12.75">
      <c r="A41" s="86" t="s">
        <v>93</v>
      </c>
      <c r="B41" s="86"/>
      <c r="C41" s="86" t="s">
        <v>159</v>
      </c>
      <c r="D41" s="86" t="s">
        <v>239</v>
      </c>
      <c r="E41" s="86" t="s">
        <v>292</v>
      </c>
      <c r="F41" s="95">
        <v>1.5</v>
      </c>
      <c r="G41" s="95">
        <v>0</v>
      </c>
      <c r="H41" s="95">
        <f>F41*AE41</f>
        <v>0</v>
      </c>
      <c r="I41" s="95">
        <f>J41-H41</f>
        <v>0</v>
      </c>
      <c r="J41" s="95">
        <f>F41*G41</f>
        <v>0</v>
      </c>
      <c r="K41" s="95">
        <v>0.00177</v>
      </c>
      <c r="L41" s="95">
        <f>F41*K41</f>
        <v>0.0026550000000000002</v>
      </c>
      <c r="M41" s="104" t="s">
        <v>308</v>
      </c>
      <c r="P41" s="79">
        <f>IF(AG41="5",J41,0)</f>
        <v>0</v>
      </c>
      <c r="R41" s="79">
        <f>IF(AG41="1",H41,0)</f>
        <v>0</v>
      </c>
      <c r="S41" s="79">
        <f>IF(AG41="1",I41,0)</f>
        <v>0</v>
      </c>
      <c r="T41" s="79">
        <f>IF(AG41="7",H41,0)</f>
        <v>0</v>
      </c>
      <c r="U41" s="79">
        <f>IF(AG41="7",I41,0)</f>
        <v>0</v>
      </c>
      <c r="V41" s="79">
        <f>IF(AG41="2",H41,0)</f>
        <v>0</v>
      </c>
      <c r="W41" s="79">
        <f>IF(AG41="2",I41,0)</f>
        <v>0</v>
      </c>
      <c r="X41" s="79">
        <f>IF(AG41="0",J41,0)</f>
        <v>0</v>
      </c>
      <c r="Y41" s="101"/>
      <c r="Z41" s="95">
        <f>IF(AD41=0,J41,0)</f>
        <v>0</v>
      </c>
      <c r="AA41" s="95">
        <f>IF(AD41=15,J41,0)</f>
        <v>0</v>
      </c>
      <c r="AB41" s="95">
        <f>IF(AD41=21,J41,0)</f>
        <v>0</v>
      </c>
      <c r="AD41" s="79">
        <v>15</v>
      </c>
      <c r="AE41" s="79">
        <f>G41*0.445770065075922</f>
        <v>0</v>
      </c>
      <c r="AF41" s="79">
        <f>G41*(1-0.445770065075922)</f>
        <v>0</v>
      </c>
      <c r="AG41" s="104" t="s">
        <v>78</v>
      </c>
      <c r="AM41" s="79">
        <f>F41*AE41</f>
        <v>0</v>
      </c>
      <c r="AN41" s="79">
        <f>F41*AF41</f>
        <v>0</v>
      </c>
      <c r="AO41" s="107" t="s">
        <v>324</v>
      </c>
      <c r="AP41" s="107" t="s">
        <v>337</v>
      </c>
      <c r="AQ41" s="101" t="s">
        <v>340</v>
      </c>
      <c r="AS41" s="79">
        <f>AM41+AN41</f>
        <v>0</v>
      </c>
      <c r="AT41" s="79">
        <f>G41/(100-AU41)*100</f>
        <v>0</v>
      </c>
      <c r="AU41" s="79">
        <v>0</v>
      </c>
      <c r="AV41" s="79">
        <f>L41</f>
        <v>0.0026550000000000002</v>
      </c>
    </row>
    <row r="42" spans="1:48" ht="12.75">
      <c r="A42" s="86" t="s">
        <v>94</v>
      </c>
      <c r="B42" s="86"/>
      <c r="C42" s="86" t="s">
        <v>160</v>
      </c>
      <c r="D42" s="86" t="s">
        <v>240</v>
      </c>
      <c r="E42" s="86" t="s">
        <v>292</v>
      </c>
      <c r="F42" s="95">
        <v>2.86</v>
      </c>
      <c r="G42" s="95">
        <v>0</v>
      </c>
      <c r="H42" s="95">
        <f>F42*AE42</f>
        <v>0</v>
      </c>
      <c r="I42" s="95">
        <f>J42-H42</f>
        <v>0</v>
      </c>
      <c r="J42" s="95">
        <f>F42*G42</f>
        <v>0</v>
      </c>
      <c r="K42" s="95">
        <v>0.00335</v>
      </c>
      <c r="L42" s="95">
        <f>F42*K42</f>
        <v>0.009581</v>
      </c>
      <c r="M42" s="104" t="s">
        <v>308</v>
      </c>
      <c r="P42" s="79">
        <f>IF(AG42="5",J42,0)</f>
        <v>0</v>
      </c>
      <c r="R42" s="79">
        <f>IF(AG42="1",H42,0)</f>
        <v>0</v>
      </c>
      <c r="S42" s="79">
        <f>IF(AG42="1",I42,0)</f>
        <v>0</v>
      </c>
      <c r="T42" s="79">
        <f>IF(AG42="7",H42,0)</f>
        <v>0</v>
      </c>
      <c r="U42" s="79">
        <f>IF(AG42="7",I42,0)</f>
        <v>0</v>
      </c>
      <c r="V42" s="79">
        <f>IF(AG42="2",H42,0)</f>
        <v>0</v>
      </c>
      <c r="W42" s="79">
        <f>IF(AG42="2",I42,0)</f>
        <v>0</v>
      </c>
      <c r="X42" s="79">
        <f>IF(AG42="0",J42,0)</f>
        <v>0</v>
      </c>
      <c r="Y42" s="101"/>
      <c r="Z42" s="95">
        <f>IF(AD42=0,J42,0)</f>
        <v>0</v>
      </c>
      <c r="AA42" s="95">
        <f>IF(AD42=15,J42,0)</f>
        <v>0</v>
      </c>
      <c r="AB42" s="95">
        <f>IF(AD42=21,J42,0)</f>
        <v>0</v>
      </c>
      <c r="AD42" s="79">
        <v>15</v>
      </c>
      <c r="AE42" s="79">
        <f>G42*0.562651515151515</f>
        <v>0</v>
      </c>
      <c r="AF42" s="79">
        <f>G42*(1-0.562651515151515)</f>
        <v>0</v>
      </c>
      <c r="AG42" s="104" t="s">
        <v>78</v>
      </c>
      <c r="AM42" s="79">
        <f>F42*AE42</f>
        <v>0</v>
      </c>
      <c r="AN42" s="79">
        <f>F42*AF42</f>
        <v>0</v>
      </c>
      <c r="AO42" s="107" t="s">
        <v>324</v>
      </c>
      <c r="AP42" s="107" t="s">
        <v>337</v>
      </c>
      <c r="AQ42" s="101" t="s">
        <v>340</v>
      </c>
      <c r="AS42" s="79">
        <f>AM42+AN42</f>
        <v>0</v>
      </c>
      <c r="AT42" s="79">
        <f>G42/(100-AU42)*100</f>
        <v>0</v>
      </c>
      <c r="AU42" s="79">
        <v>0</v>
      </c>
      <c r="AV42" s="79">
        <f>L42</f>
        <v>0.009581</v>
      </c>
    </row>
    <row r="43" spans="1:48" ht="12.75">
      <c r="A43" s="86" t="s">
        <v>95</v>
      </c>
      <c r="B43" s="86"/>
      <c r="C43" s="86" t="s">
        <v>161</v>
      </c>
      <c r="D43" s="86" t="s">
        <v>241</v>
      </c>
      <c r="E43" s="86" t="s">
        <v>292</v>
      </c>
      <c r="F43" s="95">
        <v>24.65</v>
      </c>
      <c r="G43" s="95">
        <v>0</v>
      </c>
      <c r="H43" s="95">
        <f>F43*AE43</f>
        <v>0</v>
      </c>
      <c r="I43" s="95">
        <f>J43-H43</f>
        <v>0</v>
      </c>
      <c r="J43" s="95">
        <f>F43*G43</f>
        <v>0</v>
      </c>
      <c r="K43" s="95">
        <v>0.00203</v>
      </c>
      <c r="L43" s="95">
        <f>F43*K43</f>
        <v>0.0500395</v>
      </c>
      <c r="M43" s="104" t="s">
        <v>308</v>
      </c>
      <c r="P43" s="79">
        <f>IF(AG43="5",J43,0)</f>
        <v>0</v>
      </c>
      <c r="R43" s="79">
        <f>IF(AG43="1",H43,0)</f>
        <v>0</v>
      </c>
      <c r="S43" s="79">
        <f>IF(AG43="1",I43,0)</f>
        <v>0</v>
      </c>
      <c r="T43" s="79">
        <f>IF(AG43="7",H43,0)</f>
        <v>0</v>
      </c>
      <c r="U43" s="79">
        <f>IF(AG43="7",I43,0)</f>
        <v>0</v>
      </c>
      <c r="V43" s="79">
        <f>IF(AG43="2",H43,0)</f>
        <v>0</v>
      </c>
      <c r="W43" s="79">
        <f>IF(AG43="2",I43,0)</f>
        <v>0</v>
      </c>
      <c r="X43" s="79">
        <f>IF(AG43="0",J43,0)</f>
        <v>0</v>
      </c>
      <c r="Y43" s="101"/>
      <c r="Z43" s="95">
        <f>IF(AD43=0,J43,0)</f>
        <v>0</v>
      </c>
      <c r="AA43" s="95">
        <f>IF(AD43=15,J43,0)</f>
        <v>0</v>
      </c>
      <c r="AB43" s="95">
        <f>IF(AD43=21,J43,0)</f>
        <v>0</v>
      </c>
      <c r="AD43" s="79">
        <v>15</v>
      </c>
      <c r="AE43" s="79">
        <f>G43*0.465211800696074</f>
        <v>0</v>
      </c>
      <c r="AF43" s="79">
        <f>G43*(1-0.465211800696074)</f>
        <v>0</v>
      </c>
      <c r="AG43" s="104" t="s">
        <v>78</v>
      </c>
      <c r="AM43" s="79">
        <f>F43*AE43</f>
        <v>0</v>
      </c>
      <c r="AN43" s="79">
        <f>F43*AF43</f>
        <v>0</v>
      </c>
      <c r="AO43" s="107" t="s">
        <v>324</v>
      </c>
      <c r="AP43" s="107" t="s">
        <v>337</v>
      </c>
      <c r="AQ43" s="101" t="s">
        <v>340</v>
      </c>
      <c r="AS43" s="79">
        <f>AM43+AN43</f>
        <v>0</v>
      </c>
      <c r="AT43" s="79">
        <f>G43/(100-AU43)*100</f>
        <v>0</v>
      </c>
      <c r="AU43" s="79">
        <v>0</v>
      </c>
      <c r="AV43" s="79">
        <f>L43</f>
        <v>0.0500395</v>
      </c>
    </row>
    <row r="44" spans="1:48" ht="12.75">
      <c r="A44" s="86" t="s">
        <v>96</v>
      </c>
      <c r="B44" s="86"/>
      <c r="C44" s="86" t="s">
        <v>162</v>
      </c>
      <c r="D44" s="86" t="s">
        <v>242</v>
      </c>
      <c r="E44" s="86" t="s">
        <v>289</v>
      </c>
      <c r="F44" s="95">
        <v>1.2</v>
      </c>
      <c r="G44" s="95">
        <v>0</v>
      </c>
      <c r="H44" s="95">
        <f>F44*AE44</f>
        <v>0</v>
      </c>
      <c r="I44" s="95">
        <f>J44-H44</f>
        <v>0</v>
      </c>
      <c r="J44" s="95">
        <f>F44*G44</f>
        <v>0</v>
      </c>
      <c r="K44" s="95">
        <v>0.00744</v>
      </c>
      <c r="L44" s="95">
        <f>F44*K44</f>
        <v>0.008928</v>
      </c>
      <c r="M44" s="104" t="s">
        <v>308</v>
      </c>
      <c r="P44" s="79">
        <f>IF(AG44="5",J44,0)</f>
        <v>0</v>
      </c>
      <c r="R44" s="79">
        <f>IF(AG44="1",H44,0)</f>
        <v>0</v>
      </c>
      <c r="S44" s="79">
        <f>IF(AG44="1",I44,0)</f>
        <v>0</v>
      </c>
      <c r="T44" s="79">
        <f>IF(AG44="7",H44,0)</f>
        <v>0</v>
      </c>
      <c r="U44" s="79">
        <f>IF(AG44="7",I44,0)</f>
        <v>0</v>
      </c>
      <c r="V44" s="79">
        <f>IF(AG44="2",H44,0)</f>
        <v>0</v>
      </c>
      <c r="W44" s="79">
        <f>IF(AG44="2",I44,0)</f>
        <v>0</v>
      </c>
      <c r="X44" s="79">
        <f>IF(AG44="0",J44,0)</f>
        <v>0</v>
      </c>
      <c r="Y44" s="101"/>
      <c r="Z44" s="95">
        <f>IF(AD44=0,J44,0)</f>
        <v>0</v>
      </c>
      <c r="AA44" s="95">
        <f>IF(AD44=15,J44,0)</f>
        <v>0</v>
      </c>
      <c r="AB44" s="95">
        <f>IF(AD44=21,J44,0)</f>
        <v>0</v>
      </c>
      <c r="AD44" s="79">
        <v>15</v>
      </c>
      <c r="AE44" s="79">
        <f>G44*0.455580722891566</f>
        <v>0</v>
      </c>
      <c r="AF44" s="79">
        <f>G44*(1-0.455580722891566)</f>
        <v>0</v>
      </c>
      <c r="AG44" s="104" t="s">
        <v>78</v>
      </c>
      <c r="AM44" s="79">
        <f>F44*AE44</f>
        <v>0</v>
      </c>
      <c r="AN44" s="79">
        <f>F44*AF44</f>
        <v>0</v>
      </c>
      <c r="AO44" s="107" t="s">
        <v>324</v>
      </c>
      <c r="AP44" s="107" t="s">
        <v>337</v>
      </c>
      <c r="AQ44" s="101" t="s">
        <v>340</v>
      </c>
      <c r="AS44" s="79">
        <f>AM44+AN44</f>
        <v>0</v>
      </c>
      <c r="AT44" s="79">
        <f>G44/(100-AU44)*100</f>
        <v>0</v>
      </c>
      <c r="AU44" s="79">
        <v>0</v>
      </c>
      <c r="AV44" s="79">
        <f>L44</f>
        <v>0.008928</v>
      </c>
    </row>
    <row r="45" spans="1:48" ht="12.75">
      <c r="A45" s="86" t="s">
        <v>97</v>
      </c>
      <c r="B45" s="86"/>
      <c r="C45" s="86" t="s">
        <v>163</v>
      </c>
      <c r="D45" s="86" t="s">
        <v>243</v>
      </c>
      <c r="E45" s="86" t="s">
        <v>289</v>
      </c>
      <c r="F45" s="95">
        <v>1.2</v>
      </c>
      <c r="G45" s="95">
        <v>0</v>
      </c>
      <c r="H45" s="95">
        <f>F45*AE45</f>
        <v>0</v>
      </c>
      <c r="I45" s="95">
        <f>J45-H45</f>
        <v>0</v>
      </c>
      <c r="J45" s="95">
        <f>F45*G45</f>
        <v>0</v>
      </c>
      <c r="K45" s="95">
        <v>0.00902</v>
      </c>
      <c r="L45" s="95">
        <f>F45*K45</f>
        <v>0.010824</v>
      </c>
      <c r="M45" s="104" t="s">
        <v>308</v>
      </c>
      <c r="P45" s="79">
        <f>IF(AG45="5",J45,0)</f>
        <v>0</v>
      </c>
      <c r="R45" s="79">
        <f>IF(AG45="1",H45,0)</f>
        <v>0</v>
      </c>
      <c r="S45" s="79">
        <f>IF(AG45="1",I45,0)</f>
        <v>0</v>
      </c>
      <c r="T45" s="79">
        <f>IF(AG45="7",H45,0)</f>
        <v>0</v>
      </c>
      <c r="U45" s="79">
        <f>IF(AG45="7",I45,0)</f>
        <v>0</v>
      </c>
      <c r="V45" s="79">
        <f>IF(AG45="2",H45,0)</f>
        <v>0</v>
      </c>
      <c r="W45" s="79">
        <f>IF(AG45="2",I45,0)</f>
        <v>0</v>
      </c>
      <c r="X45" s="79">
        <f>IF(AG45="0",J45,0)</f>
        <v>0</v>
      </c>
      <c r="Y45" s="101"/>
      <c r="Z45" s="95">
        <f>IF(AD45=0,J45,0)</f>
        <v>0</v>
      </c>
      <c r="AA45" s="95">
        <f>IF(AD45=15,J45,0)</f>
        <v>0</v>
      </c>
      <c r="AB45" s="95">
        <f>IF(AD45=21,J45,0)</f>
        <v>0</v>
      </c>
      <c r="AD45" s="79">
        <v>15</v>
      </c>
      <c r="AE45" s="79">
        <f>G45*0.464886198547216</f>
        <v>0</v>
      </c>
      <c r="AF45" s="79">
        <f>G45*(1-0.464886198547216)</f>
        <v>0</v>
      </c>
      <c r="AG45" s="104" t="s">
        <v>78</v>
      </c>
      <c r="AM45" s="79">
        <f>F45*AE45</f>
        <v>0</v>
      </c>
      <c r="AN45" s="79">
        <f>F45*AF45</f>
        <v>0</v>
      </c>
      <c r="AO45" s="107" t="s">
        <v>324</v>
      </c>
      <c r="AP45" s="107" t="s">
        <v>337</v>
      </c>
      <c r="AQ45" s="101" t="s">
        <v>340</v>
      </c>
      <c r="AS45" s="79">
        <f>AM45+AN45</f>
        <v>0</v>
      </c>
      <c r="AT45" s="79">
        <f>G45/(100-AU45)*100</f>
        <v>0</v>
      </c>
      <c r="AU45" s="79">
        <v>0</v>
      </c>
      <c r="AV45" s="79">
        <f>L45</f>
        <v>0.010824</v>
      </c>
    </row>
    <row r="46" spans="1:48" ht="12.75">
      <c r="A46" s="86" t="s">
        <v>98</v>
      </c>
      <c r="B46" s="86"/>
      <c r="C46" s="86" t="s">
        <v>164</v>
      </c>
      <c r="D46" s="86" t="s">
        <v>244</v>
      </c>
      <c r="E46" s="86" t="s">
        <v>292</v>
      </c>
      <c r="F46" s="95">
        <v>15.98</v>
      </c>
      <c r="G46" s="95">
        <v>0</v>
      </c>
      <c r="H46" s="95">
        <f>F46*AE46</f>
        <v>0</v>
      </c>
      <c r="I46" s="95">
        <f>J46-H46</f>
        <v>0</v>
      </c>
      <c r="J46" s="95">
        <f>F46*G46</f>
        <v>0</v>
      </c>
      <c r="K46" s="95">
        <v>0.00272</v>
      </c>
      <c r="L46" s="95">
        <f>F46*K46</f>
        <v>0.04346560000000001</v>
      </c>
      <c r="M46" s="104" t="s">
        <v>308</v>
      </c>
      <c r="P46" s="79">
        <f>IF(AG46="5",J46,0)</f>
        <v>0</v>
      </c>
      <c r="R46" s="79">
        <f>IF(AG46="1",H46,0)</f>
        <v>0</v>
      </c>
      <c r="S46" s="79">
        <f>IF(AG46="1",I46,0)</f>
        <v>0</v>
      </c>
      <c r="T46" s="79">
        <f>IF(AG46="7",H46,0)</f>
        <v>0</v>
      </c>
      <c r="U46" s="79">
        <f>IF(AG46="7",I46,0)</f>
        <v>0</v>
      </c>
      <c r="V46" s="79">
        <f>IF(AG46="2",H46,0)</f>
        <v>0</v>
      </c>
      <c r="W46" s="79">
        <f>IF(AG46="2",I46,0)</f>
        <v>0</v>
      </c>
      <c r="X46" s="79">
        <f>IF(AG46="0",J46,0)</f>
        <v>0</v>
      </c>
      <c r="Y46" s="101"/>
      <c r="Z46" s="95">
        <f>IF(AD46=0,J46,0)</f>
        <v>0</v>
      </c>
      <c r="AA46" s="95">
        <f>IF(AD46=15,J46,0)</f>
        <v>0</v>
      </c>
      <c r="AB46" s="95">
        <f>IF(AD46=21,J46,0)</f>
        <v>0</v>
      </c>
      <c r="AD46" s="79">
        <v>15</v>
      </c>
      <c r="AE46" s="79">
        <f>G46*0.758340807174888</f>
        <v>0</v>
      </c>
      <c r="AF46" s="79">
        <f>G46*(1-0.758340807174888)</f>
        <v>0</v>
      </c>
      <c r="AG46" s="104" t="s">
        <v>78</v>
      </c>
      <c r="AM46" s="79">
        <f>F46*AE46</f>
        <v>0</v>
      </c>
      <c r="AN46" s="79">
        <f>F46*AF46</f>
        <v>0</v>
      </c>
      <c r="AO46" s="107" t="s">
        <v>324</v>
      </c>
      <c r="AP46" s="107" t="s">
        <v>337</v>
      </c>
      <c r="AQ46" s="101" t="s">
        <v>340</v>
      </c>
      <c r="AS46" s="79">
        <f>AM46+AN46</f>
        <v>0</v>
      </c>
      <c r="AT46" s="79">
        <f>G46/(100-AU46)*100</f>
        <v>0</v>
      </c>
      <c r="AU46" s="79">
        <v>0</v>
      </c>
      <c r="AV46" s="79">
        <f>L46</f>
        <v>0.04346560000000001</v>
      </c>
    </row>
    <row r="47" spans="1:48" ht="12.75">
      <c r="A47" s="86" t="s">
        <v>99</v>
      </c>
      <c r="B47" s="86"/>
      <c r="C47" s="86" t="s">
        <v>165</v>
      </c>
      <c r="D47" s="86" t="s">
        <v>245</v>
      </c>
      <c r="E47" s="86" t="s">
        <v>293</v>
      </c>
      <c r="F47" s="95">
        <v>431.3873</v>
      </c>
      <c r="G47" s="95">
        <v>0</v>
      </c>
      <c r="H47" s="95">
        <f>F47*AE47</f>
        <v>0</v>
      </c>
      <c r="I47" s="95">
        <f>J47-H47</f>
        <v>0</v>
      </c>
      <c r="J47" s="95">
        <f>F47*G47</f>
        <v>0</v>
      </c>
      <c r="K47" s="95">
        <v>0</v>
      </c>
      <c r="L47" s="95">
        <f>F47*K47</f>
        <v>0</v>
      </c>
      <c r="M47" s="104" t="s">
        <v>308</v>
      </c>
      <c r="P47" s="79">
        <f>IF(AG47="5",J47,0)</f>
        <v>0</v>
      </c>
      <c r="R47" s="79">
        <f>IF(AG47="1",H47,0)</f>
        <v>0</v>
      </c>
      <c r="S47" s="79">
        <f>IF(AG47="1",I47,0)</f>
        <v>0</v>
      </c>
      <c r="T47" s="79">
        <f>IF(AG47="7",H47,0)</f>
        <v>0</v>
      </c>
      <c r="U47" s="79">
        <f>IF(AG47="7",I47,0)</f>
        <v>0</v>
      </c>
      <c r="V47" s="79">
        <f>IF(AG47="2",H47,0)</f>
        <v>0</v>
      </c>
      <c r="W47" s="79">
        <f>IF(AG47="2",I47,0)</f>
        <v>0</v>
      </c>
      <c r="X47" s="79">
        <f>IF(AG47="0",J47,0)</f>
        <v>0</v>
      </c>
      <c r="Y47" s="101"/>
      <c r="Z47" s="95">
        <f>IF(AD47=0,J47,0)</f>
        <v>0</v>
      </c>
      <c r="AA47" s="95">
        <f>IF(AD47=15,J47,0)</f>
        <v>0</v>
      </c>
      <c r="AB47" s="95">
        <f>IF(AD47=21,J47,0)</f>
        <v>0</v>
      </c>
      <c r="AD47" s="79">
        <v>15</v>
      </c>
      <c r="AE47" s="79">
        <f>G47*0</f>
        <v>0</v>
      </c>
      <c r="AF47" s="79">
        <f>G47*(1-0)</f>
        <v>0</v>
      </c>
      <c r="AG47" s="104" t="s">
        <v>76</v>
      </c>
      <c r="AM47" s="79">
        <f>F47*AE47</f>
        <v>0</v>
      </c>
      <c r="AN47" s="79">
        <f>F47*AF47</f>
        <v>0</v>
      </c>
      <c r="AO47" s="107" t="s">
        <v>324</v>
      </c>
      <c r="AP47" s="107" t="s">
        <v>337</v>
      </c>
      <c r="AQ47" s="101" t="s">
        <v>340</v>
      </c>
      <c r="AS47" s="79">
        <f>AM47+AN47</f>
        <v>0</v>
      </c>
      <c r="AT47" s="79">
        <f>G47/(100-AU47)*100</f>
        <v>0</v>
      </c>
      <c r="AU47" s="79">
        <v>0</v>
      </c>
      <c r="AV47" s="79">
        <f>L47</f>
        <v>0</v>
      </c>
    </row>
    <row r="48" spans="1:37" ht="12.75">
      <c r="A48" s="85"/>
      <c r="B48" s="92"/>
      <c r="C48" s="92" t="s">
        <v>166</v>
      </c>
      <c r="D48" s="92" t="s">
        <v>246</v>
      </c>
      <c r="E48" s="85" t="s">
        <v>58</v>
      </c>
      <c r="F48" s="85" t="s">
        <v>58</v>
      </c>
      <c r="G48" s="85" t="s">
        <v>58</v>
      </c>
      <c r="H48" s="109">
        <f>SUM(H49:H52)</f>
        <v>0</v>
      </c>
      <c r="I48" s="109">
        <f>SUM(I49:I52)</f>
        <v>0</v>
      </c>
      <c r="J48" s="109">
        <f>H48+I48</f>
        <v>0</v>
      </c>
      <c r="K48" s="101"/>
      <c r="L48" s="109">
        <f>SUM(L49:L52)</f>
        <v>0.32134720000000006</v>
      </c>
      <c r="M48" s="101"/>
      <c r="Y48" s="101"/>
      <c r="AI48" s="109">
        <f>SUM(Z49:Z52)</f>
        <v>0</v>
      </c>
      <c r="AJ48" s="109">
        <f>SUM(AA49:AA52)</f>
        <v>0</v>
      </c>
      <c r="AK48" s="109">
        <f>SUM(AB49:AB52)</f>
        <v>0</v>
      </c>
    </row>
    <row r="49" spans="1:48" ht="12.75">
      <c r="A49" s="86" t="s">
        <v>100</v>
      </c>
      <c r="B49" s="86"/>
      <c r="C49" s="86" t="s">
        <v>167</v>
      </c>
      <c r="D49" s="86" t="s">
        <v>247</v>
      </c>
      <c r="E49" s="86" t="s">
        <v>289</v>
      </c>
      <c r="F49" s="95">
        <v>12.8</v>
      </c>
      <c r="G49" s="95">
        <v>0</v>
      </c>
      <c r="H49" s="95">
        <f>F49*AE49</f>
        <v>0</v>
      </c>
      <c r="I49" s="95">
        <f>J49-H49</f>
        <v>0</v>
      </c>
      <c r="J49" s="95">
        <f>F49*G49</f>
        <v>0</v>
      </c>
      <c r="K49" s="95">
        <v>0</v>
      </c>
      <c r="L49" s="95">
        <f>F49*K49</f>
        <v>0</v>
      </c>
      <c r="M49" s="104"/>
      <c r="P49" s="79">
        <f>IF(AG49="5",J49,0)</f>
        <v>0</v>
      </c>
      <c r="R49" s="79">
        <f>IF(AG49="1",H49,0)</f>
        <v>0</v>
      </c>
      <c r="S49" s="79">
        <f>IF(AG49="1",I49,0)</f>
        <v>0</v>
      </c>
      <c r="T49" s="79">
        <f>IF(AG49="7",H49,0)</f>
        <v>0</v>
      </c>
      <c r="U49" s="79">
        <f>IF(AG49="7",I49,0)</f>
        <v>0</v>
      </c>
      <c r="V49" s="79">
        <f>IF(AG49="2",H49,0)</f>
        <v>0</v>
      </c>
      <c r="W49" s="79">
        <f>IF(AG49="2",I49,0)</f>
        <v>0</v>
      </c>
      <c r="X49" s="79">
        <f>IF(AG49="0",J49,0)</f>
        <v>0</v>
      </c>
      <c r="Y49" s="101"/>
      <c r="Z49" s="95">
        <f>IF(AD49=0,J49,0)</f>
        <v>0</v>
      </c>
      <c r="AA49" s="95">
        <f>IF(AD49=15,J49,0)</f>
        <v>0</v>
      </c>
      <c r="AB49" s="95">
        <f>IF(AD49=21,J49,0)</f>
        <v>0</v>
      </c>
      <c r="AD49" s="79">
        <v>15</v>
      </c>
      <c r="AE49" s="79">
        <f>G49*0.416666666666667</f>
        <v>0</v>
      </c>
      <c r="AF49" s="79">
        <f>G49*(1-0.416666666666667)</f>
        <v>0</v>
      </c>
      <c r="AG49" s="104" t="s">
        <v>78</v>
      </c>
      <c r="AM49" s="79">
        <f>F49*AE49</f>
        <v>0</v>
      </c>
      <c r="AN49" s="79">
        <f>F49*AF49</f>
        <v>0</v>
      </c>
      <c r="AO49" s="107" t="s">
        <v>325</v>
      </c>
      <c r="AP49" s="107" t="s">
        <v>337</v>
      </c>
      <c r="AQ49" s="101" t="s">
        <v>340</v>
      </c>
      <c r="AS49" s="79">
        <f>AM49+AN49</f>
        <v>0</v>
      </c>
      <c r="AT49" s="79">
        <f>G49/(100-AU49)*100</f>
        <v>0</v>
      </c>
      <c r="AU49" s="79">
        <v>0</v>
      </c>
      <c r="AV49" s="79">
        <f>L49</f>
        <v>0</v>
      </c>
    </row>
    <row r="50" spans="1:48" ht="12.75">
      <c r="A50" s="86" t="s">
        <v>101</v>
      </c>
      <c r="B50" s="86"/>
      <c r="C50" s="86" t="s">
        <v>168</v>
      </c>
      <c r="D50" s="86" t="s">
        <v>248</v>
      </c>
      <c r="E50" s="86" t="s">
        <v>289</v>
      </c>
      <c r="F50" s="95">
        <v>12.8</v>
      </c>
      <c r="G50" s="95">
        <v>0</v>
      </c>
      <c r="H50" s="95">
        <f>F50*AE50</f>
        <v>0</v>
      </c>
      <c r="I50" s="95">
        <f>J50-H50</f>
        <v>0</v>
      </c>
      <c r="J50" s="95">
        <f>F50*G50</f>
        <v>0</v>
      </c>
      <c r="K50" s="95">
        <v>0.014</v>
      </c>
      <c r="L50" s="95">
        <f>F50*K50</f>
        <v>0.17920000000000003</v>
      </c>
      <c r="M50" s="104" t="s">
        <v>308</v>
      </c>
      <c r="P50" s="79">
        <f>IF(AG50="5",J50,0)</f>
        <v>0</v>
      </c>
      <c r="R50" s="79">
        <f>IF(AG50="1",H50,0)</f>
        <v>0</v>
      </c>
      <c r="S50" s="79">
        <f>IF(AG50="1",I50,0)</f>
        <v>0</v>
      </c>
      <c r="T50" s="79">
        <f>IF(AG50="7",H50,0)</f>
        <v>0</v>
      </c>
      <c r="U50" s="79">
        <f>IF(AG50="7",I50,0)</f>
        <v>0</v>
      </c>
      <c r="V50" s="79">
        <f>IF(AG50="2",H50,0)</f>
        <v>0</v>
      </c>
      <c r="W50" s="79">
        <f>IF(AG50="2",I50,0)</f>
        <v>0</v>
      </c>
      <c r="X50" s="79">
        <f>IF(AG50="0",J50,0)</f>
        <v>0</v>
      </c>
      <c r="Y50" s="101"/>
      <c r="Z50" s="95">
        <f>IF(AD50=0,J50,0)</f>
        <v>0</v>
      </c>
      <c r="AA50" s="95">
        <f>IF(AD50=15,J50,0)</f>
        <v>0</v>
      </c>
      <c r="AB50" s="95">
        <f>IF(AD50=21,J50,0)</f>
        <v>0</v>
      </c>
      <c r="AD50" s="79">
        <v>15</v>
      </c>
      <c r="AE50" s="79">
        <f>G50*0</f>
        <v>0</v>
      </c>
      <c r="AF50" s="79">
        <f>G50*(1-0)</f>
        <v>0</v>
      </c>
      <c r="AG50" s="104" t="s">
        <v>78</v>
      </c>
      <c r="AM50" s="79">
        <f>F50*AE50</f>
        <v>0</v>
      </c>
      <c r="AN50" s="79">
        <f>F50*AF50</f>
        <v>0</v>
      </c>
      <c r="AO50" s="107" t="s">
        <v>325</v>
      </c>
      <c r="AP50" s="107" t="s">
        <v>337</v>
      </c>
      <c r="AQ50" s="101" t="s">
        <v>340</v>
      </c>
      <c r="AS50" s="79">
        <f>AM50+AN50</f>
        <v>0</v>
      </c>
      <c r="AT50" s="79">
        <f>G50/(100-AU50)*100</f>
        <v>0</v>
      </c>
      <c r="AU50" s="79">
        <v>0</v>
      </c>
      <c r="AV50" s="79">
        <f>L50</f>
        <v>0.17920000000000003</v>
      </c>
    </row>
    <row r="51" spans="1:48" ht="12.75">
      <c r="A51" s="86" t="s">
        <v>102</v>
      </c>
      <c r="B51" s="86"/>
      <c r="C51" s="86" t="s">
        <v>169</v>
      </c>
      <c r="D51" s="86" t="s">
        <v>249</v>
      </c>
      <c r="E51" s="86" t="s">
        <v>292</v>
      </c>
      <c r="F51" s="95">
        <v>12.48</v>
      </c>
      <c r="G51" s="95">
        <v>0</v>
      </c>
      <c r="H51" s="95">
        <f>F51*AE51</f>
        <v>0</v>
      </c>
      <c r="I51" s="95">
        <f>J51-H51</f>
        <v>0</v>
      </c>
      <c r="J51" s="95">
        <f>F51*G51</f>
        <v>0</v>
      </c>
      <c r="K51" s="95">
        <v>0.01139</v>
      </c>
      <c r="L51" s="95">
        <f>F51*K51</f>
        <v>0.1421472</v>
      </c>
      <c r="M51" s="104" t="s">
        <v>308</v>
      </c>
      <c r="P51" s="79">
        <f>IF(AG51="5",J51,0)</f>
        <v>0</v>
      </c>
      <c r="R51" s="79">
        <f>IF(AG51="1",H51,0)</f>
        <v>0</v>
      </c>
      <c r="S51" s="79">
        <f>IF(AG51="1",I51,0)</f>
        <v>0</v>
      </c>
      <c r="T51" s="79">
        <f>IF(AG51="7",H51,0)</f>
        <v>0</v>
      </c>
      <c r="U51" s="79">
        <f>IF(AG51="7",I51,0)</f>
        <v>0</v>
      </c>
      <c r="V51" s="79">
        <f>IF(AG51="2",H51,0)</f>
        <v>0</v>
      </c>
      <c r="W51" s="79">
        <f>IF(AG51="2",I51,0)</f>
        <v>0</v>
      </c>
      <c r="X51" s="79">
        <f>IF(AG51="0",J51,0)</f>
        <v>0</v>
      </c>
      <c r="Y51" s="101"/>
      <c r="Z51" s="95">
        <f>IF(AD51=0,J51,0)</f>
        <v>0</v>
      </c>
      <c r="AA51" s="95">
        <f>IF(AD51=15,J51,0)</f>
        <v>0</v>
      </c>
      <c r="AB51" s="95">
        <f>IF(AD51=21,J51,0)</f>
        <v>0</v>
      </c>
      <c r="AD51" s="79">
        <v>15</v>
      </c>
      <c r="AE51" s="79">
        <f>G51*0.876572327044025</f>
        <v>0</v>
      </c>
      <c r="AF51" s="79">
        <f>G51*(1-0.876572327044025)</f>
        <v>0</v>
      </c>
      <c r="AG51" s="104" t="s">
        <v>78</v>
      </c>
      <c r="AM51" s="79">
        <f>F51*AE51</f>
        <v>0</v>
      </c>
      <c r="AN51" s="79">
        <f>F51*AF51</f>
        <v>0</v>
      </c>
      <c r="AO51" s="107" t="s">
        <v>325</v>
      </c>
      <c r="AP51" s="107" t="s">
        <v>337</v>
      </c>
      <c r="AQ51" s="101" t="s">
        <v>340</v>
      </c>
      <c r="AS51" s="79">
        <f>AM51+AN51</f>
        <v>0</v>
      </c>
      <c r="AT51" s="79">
        <f>G51/(100-AU51)*100</f>
        <v>0</v>
      </c>
      <c r="AU51" s="79">
        <v>0</v>
      </c>
      <c r="AV51" s="79">
        <f>L51</f>
        <v>0.1421472</v>
      </c>
    </row>
    <row r="52" spans="1:48" ht="12.75">
      <c r="A52" s="86" t="s">
        <v>103</v>
      </c>
      <c r="B52" s="86"/>
      <c r="C52" s="86" t="s">
        <v>170</v>
      </c>
      <c r="D52" s="86" t="s">
        <v>250</v>
      </c>
      <c r="E52" s="86" t="s">
        <v>293</v>
      </c>
      <c r="F52" s="95">
        <v>0</v>
      </c>
      <c r="G52" s="95">
        <v>0</v>
      </c>
      <c r="H52" s="95">
        <f>F52*AE52</f>
        <v>0</v>
      </c>
      <c r="I52" s="95">
        <f>J52-H52</f>
        <v>0</v>
      </c>
      <c r="J52" s="95">
        <f>F52*G52</f>
        <v>0</v>
      </c>
      <c r="K52" s="95">
        <v>0</v>
      </c>
      <c r="L52" s="95">
        <f>F52*K52</f>
        <v>0</v>
      </c>
      <c r="M52" s="104" t="s">
        <v>308</v>
      </c>
      <c r="P52" s="79">
        <f>IF(AG52="5",J52,0)</f>
        <v>0</v>
      </c>
      <c r="R52" s="79">
        <f>IF(AG52="1",H52,0)</f>
        <v>0</v>
      </c>
      <c r="S52" s="79">
        <f>IF(AG52="1",I52,0)</f>
        <v>0</v>
      </c>
      <c r="T52" s="79">
        <f>IF(AG52="7",H52,0)</f>
        <v>0</v>
      </c>
      <c r="U52" s="79">
        <f>IF(AG52="7",I52,0)</f>
        <v>0</v>
      </c>
      <c r="V52" s="79">
        <f>IF(AG52="2",H52,0)</f>
        <v>0</v>
      </c>
      <c r="W52" s="79">
        <f>IF(AG52="2",I52,0)</f>
        <v>0</v>
      </c>
      <c r="X52" s="79">
        <f>IF(AG52="0",J52,0)</f>
        <v>0</v>
      </c>
      <c r="Y52" s="101"/>
      <c r="Z52" s="95">
        <f>IF(AD52=0,J52,0)</f>
        <v>0</v>
      </c>
      <c r="AA52" s="95">
        <f>IF(AD52=15,J52,0)</f>
        <v>0</v>
      </c>
      <c r="AB52" s="95">
        <f>IF(AD52=21,J52,0)</f>
        <v>0</v>
      </c>
      <c r="AD52" s="79">
        <v>15</v>
      </c>
      <c r="AE52" s="79">
        <f>G52*0</f>
        <v>0</v>
      </c>
      <c r="AF52" s="79">
        <f>G52*(1-0)</f>
        <v>0</v>
      </c>
      <c r="AG52" s="104" t="s">
        <v>76</v>
      </c>
      <c r="AM52" s="79">
        <f>F52*AE52</f>
        <v>0</v>
      </c>
      <c r="AN52" s="79">
        <f>F52*AF52</f>
        <v>0</v>
      </c>
      <c r="AO52" s="107" t="s">
        <v>325</v>
      </c>
      <c r="AP52" s="107" t="s">
        <v>337</v>
      </c>
      <c r="AQ52" s="101" t="s">
        <v>340</v>
      </c>
      <c r="AS52" s="79">
        <f>AM52+AN52</f>
        <v>0</v>
      </c>
      <c r="AT52" s="79">
        <f>G52/(100-AU52)*100</f>
        <v>0</v>
      </c>
      <c r="AU52" s="79">
        <v>0</v>
      </c>
      <c r="AV52" s="79">
        <f>L52</f>
        <v>0</v>
      </c>
    </row>
    <row r="53" spans="1:37" ht="12.75">
      <c r="A53" s="85"/>
      <c r="B53" s="92"/>
      <c r="C53" s="92" t="s">
        <v>171</v>
      </c>
      <c r="D53" s="92" t="s">
        <v>251</v>
      </c>
      <c r="E53" s="85" t="s">
        <v>58</v>
      </c>
      <c r="F53" s="85" t="s">
        <v>58</v>
      </c>
      <c r="G53" s="85" t="s">
        <v>58</v>
      </c>
      <c r="H53" s="109">
        <f>SUM(H54:H57)</f>
        <v>0</v>
      </c>
      <c r="I53" s="109">
        <f>SUM(I54:I57)</f>
        <v>0</v>
      </c>
      <c r="J53" s="109">
        <f>H53+I53</f>
        <v>0</v>
      </c>
      <c r="K53" s="101"/>
      <c r="L53" s="109">
        <f>SUM(L54:L57)</f>
        <v>0.10728000000000001</v>
      </c>
      <c r="M53" s="101"/>
      <c r="Y53" s="101"/>
      <c r="AI53" s="109">
        <f>SUM(Z54:Z57)</f>
        <v>0</v>
      </c>
      <c r="AJ53" s="109">
        <f>SUM(AA54:AA57)</f>
        <v>0</v>
      </c>
      <c r="AK53" s="109">
        <f>SUM(AB54:AB57)</f>
        <v>0</v>
      </c>
    </row>
    <row r="54" spans="1:48" ht="12.75">
      <c r="A54" s="86" t="s">
        <v>104</v>
      </c>
      <c r="B54" s="86"/>
      <c r="C54" s="86" t="s">
        <v>172</v>
      </c>
      <c r="D54" s="86" t="s">
        <v>252</v>
      </c>
      <c r="E54" s="86" t="s">
        <v>294</v>
      </c>
      <c r="F54" s="95">
        <v>6</v>
      </c>
      <c r="G54" s="95">
        <v>0</v>
      </c>
      <c r="H54" s="95">
        <f>F54*AE54</f>
        <v>0</v>
      </c>
      <c r="I54" s="95">
        <f>J54-H54</f>
        <v>0</v>
      </c>
      <c r="J54" s="95">
        <f>F54*G54</f>
        <v>0</v>
      </c>
      <c r="K54" s="95">
        <v>2E-05</v>
      </c>
      <c r="L54" s="95">
        <f>F54*K54</f>
        <v>0.00012000000000000002</v>
      </c>
      <c r="M54" s="104" t="s">
        <v>308</v>
      </c>
      <c r="P54" s="79">
        <f>IF(AG54="5",J54,0)</f>
        <v>0</v>
      </c>
      <c r="R54" s="79">
        <f>IF(AG54="1",H54,0)</f>
        <v>0</v>
      </c>
      <c r="S54" s="79">
        <f>IF(AG54="1",I54,0)</f>
        <v>0</v>
      </c>
      <c r="T54" s="79">
        <f>IF(AG54="7",H54,0)</f>
        <v>0</v>
      </c>
      <c r="U54" s="79">
        <f>IF(AG54="7",I54,0)</f>
        <v>0</v>
      </c>
      <c r="V54" s="79">
        <f>IF(AG54="2",H54,0)</f>
        <v>0</v>
      </c>
      <c r="W54" s="79">
        <f>IF(AG54="2",I54,0)</f>
        <v>0</v>
      </c>
      <c r="X54" s="79">
        <f>IF(AG54="0",J54,0)</f>
        <v>0</v>
      </c>
      <c r="Y54" s="101"/>
      <c r="Z54" s="95">
        <f>IF(AD54=0,J54,0)</f>
        <v>0</v>
      </c>
      <c r="AA54" s="95">
        <f>IF(AD54=15,J54,0)</f>
        <v>0</v>
      </c>
      <c r="AB54" s="95">
        <f>IF(AD54=21,J54,0)</f>
        <v>0</v>
      </c>
      <c r="AD54" s="79">
        <v>15</v>
      </c>
      <c r="AE54" s="79">
        <f>G54*0.0215202899199141</f>
        <v>0</v>
      </c>
      <c r="AF54" s="79">
        <f>G54*(1-0.0215202899199141)</f>
        <v>0</v>
      </c>
      <c r="AG54" s="104" t="s">
        <v>78</v>
      </c>
      <c r="AM54" s="79">
        <f>F54*AE54</f>
        <v>0</v>
      </c>
      <c r="AN54" s="79">
        <f>F54*AF54</f>
        <v>0</v>
      </c>
      <c r="AO54" s="107" t="s">
        <v>326</v>
      </c>
      <c r="AP54" s="107" t="s">
        <v>337</v>
      </c>
      <c r="AQ54" s="101" t="s">
        <v>340</v>
      </c>
      <c r="AS54" s="79">
        <f>AM54+AN54</f>
        <v>0</v>
      </c>
      <c r="AT54" s="79">
        <f>G54/(100-AU54)*100</f>
        <v>0</v>
      </c>
      <c r="AU54" s="79">
        <v>0</v>
      </c>
      <c r="AV54" s="79">
        <f>L54</f>
        <v>0.00012000000000000002</v>
      </c>
    </row>
    <row r="55" spans="1:48" ht="12.75">
      <c r="A55" s="87" t="s">
        <v>105</v>
      </c>
      <c r="B55" s="87"/>
      <c r="C55" s="87" t="s">
        <v>173</v>
      </c>
      <c r="D55" s="87" t="s">
        <v>253</v>
      </c>
      <c r="E55" s="87" t="s">
        <v>292</v>
      </c>
      <c r="F55" s="96">
        <v>4.2</v>
      </c>
      <c r="G55" s="96">
        <v>0</v>
      </c>
      <c r="H55" s="96">
        <f>F55*AE55</f>
        <v>0</v>
      </c>
      <c r="I55" s="96">
        <f>J55-H55</f>
        <v>0</v>
      </c>
      <c r="J55" s="96">
        <f>F55*G55</f>
        <v>0</v>
      </c>
      <c r="K55" s="96">
        <v>0.0033</v>
      </c>
      <c r="L55" s="96">
        <f>F55*K55</f>
        <v>0.01386</v>
      </c>
      <c r="M55" s="105" t="s">
        <v>308</v>
      </c>
      <c r="P55" s="79">
        <f>IF(AG55="5",J55,0)</f>
        <v>0</v>
      </c>
      <c r="R55" s="79">
        <f>IF(AG55="1",H55,0)</f>
        <v>0</v>
      </c>
      <c r="S55" s="79">
        <f>IF(AG55="1",I55,0)</f>
        <v>0</v>
      </c>
      <c r="T55" s="79">
        <f>IF(AG55="7",H55,0)</f>
        <v>0</v>
      </c>
      <c r="U55" s="79">
        <f>IF(AG55="7",I55,0)</f>
        <v>0</v>
      </c>
      <c r="V55" s="79">
        <f>IF(AG55="2",H55,0)</f>
        <v>0</v>
      </c>
      <c r="W55" s="79">
        <f>IF(AG55="2",I55,0)</f>
        <v>0</v>
      </c>
      <c r="X55" s="79">
        <f>IF(AG55="0",J55,0)</f>
        <v>0</v>
      </c>
      <c r="Y55" s="101"/>
      <c r="Z55" s="96">
        <f>IF(AD55=0,J55,0)</f>
        <v>0</v>
      </c>
      <c r="AA55" s="96">
        <f>IF(AD55=15,J55,0)</f>
        <v>0</v>
      </c>
      <c r="AB55" s="96">
        <f>IF(AD55=21,J55,0)</f>
        <v>0</v>
      </c>
      <c r="AD55" s="79">
        <v>15</v>
      </c>
      <c r="AE55" s="79">
        <f>G55*1</f>
        <v>0</v>
      </c>
      <c r="AF55" s="79">
        <f>G55*(1-1)</f>
        <v>0</v>
      </c>
      <c r="AG55" s="105" t="s">
        <v>78</v>
      </c>
      <c r="AM55" s="79">
        <f>F55*AE55</f>
        <v>0</v>
      </c>
      <c r="AN55" s="79">
        <f>F55*AF55</f>
        <v>0</v>
      </c>
      <c r="AO55" s="107" t="s">
        <v>326</v>
      </c>
      <c r="AP55" s="107" t="s">
        <v>337</v>
      </c>
      <c r="AQ55" s="101" t="s">
        <v>340</v>
      </c>
      <c r="AS55" s="79">
        <f>AM55+AN55</f>
        <v>0</v>
      </c>
      <c r="AT55" s="79">
        <f>G55/(100-AU55)*100</f>
        <v>0</v>
      </c>
      <c r="AU55" s="79">
        <v>0</v>
      </c>
      <c r="AV55" s="79">
        <f>L55</f>
        <v>0.01386</v>
      </c>
    </row>
    <row r="56" spans="1:48" ht="12.75">
      <c r="A56" s="86" t="s">
        <v>106</v>
      </c>
      <c r="B56" s="86"/>
      <c r="C56" s="86" t="s">
        <v>174</v>
      </c>
      <c r="D56" s="86" t="s">
        <v>254</v>
      </c>
      <c r="E56" s="86" t="s">
        <v>294</v>
      </c>
      <c r="F56" s="95">
        <v>6</v>
      </c>
      <c r="G56" s="95">
        <v>0</v>
      </c>
      <c r="H56" s="95">
        <f>F56*AE56</f>
        <v>0</v>
      </c>
      <c r="I56" s="95">
        <f>J56-H56</f>
        <v>0</v>
      </c>
      <c r="J56" s="95">
        <f>F56*G56</f>
        <v>0</v>
      </c>
      <c r="K56" s="95">
        <v>0.00155</v>
      </c>
      <c r="L56" s="95">
        <f>F56*K56</f>
        <v>0.0093</v>
      </c>
      <c r="M56" s="104" t="s">
        <v>308</v>
      </c>
      <c r="P56" s="79">
        <f>IF(AG56="5",J56,0)</f>
        <v>0</v>
      </c>
      <c r="R56" s="79">
        <f>IF(AG56="1",H56,0)</f>
        <v>0</v>
      </c>
      <c r="S56" s="79">
        <f>IF(AG56="1",I56,0)</f>
        <v>0</v>
      </c>
      <c r="T56" s="79">
        <f>IF(AG56="7",H56,0)</f>
        <v>0</v>
      </c>
      <c r="U56" s="79">
        <f>IF(AG56="7",I56,0)</f>
        <v>0</v>
      </c>
      <c r="V56" s="79">
        <f>IF(AG56="2",H56,0)</f>
        <v>0</v>
      </c>
      <c r="W56" s="79">
        <f>IF(AG56="2",I56,0)</f>
        <v>0</v>
      </c>
      <c r="X56" s="79">
        <f>IF(AG56="0",J56,0)</f>
        <v>0</v>
      </c>
      <c r="Y56" s="101"/>
      <c r="Z56" s="95">
        <f>IF(AD56=0,J56,0)</f>
        <v>0</v>
      </c>
      <c r="AA56" s="95">
        <f>IF(AD56=15,J56,0)</f>
        <v>0</v>
      </c>
      <c r="AB56" s="95">
        <f>IF(AD56=21,J56,0)</f>
        <v>0</v>
      </c>
      <c r="AD56" s="79">
        <v>15</v>
      </c>
      <c r="AE56" s="79">
        <f>G56*0.500100334448161</f>
        <v>0</v>
      </c>
      <c r="AF56" s="79">
        <f>G56*(1-0.500100334448161)</f>
        <v>0</v>
      </c>
      <c r="AG56" s="104" t="s">
        <v>78</v>
      </c>
      <c r="AM56" s="79">
        <f>F56*AE56</f>
        <v>0</v>
      </c>
      <c r="AN56" s="79">
        <f>F56*AF56</f>
        <v>0</v>
      </c>
      <c r="AO56" s="107" t="s">
        <v>326</v>
      </c>
      <c r="AP56" s="107" t="s">
        <v>337</v>
      </c>
      <c r="AQ56" s="101" t="s">
        <v>340</v>
      </c>
      <c r="AS56" s="79">
        <f>AM56+AN56</f>
        <v>0</v>
      </c>
      <c r="AT56" s="79">
        <f>G56/(100-AU56)*100</f>
        <v>0</v>
      </c>
      <c r="AU56" s="79">
        <v>0</v>
      </c>
      <c r="AV56" s="79">
        <f>L56</f>
        <v>0.0093</v>
      </c>
    </row>
    <row r="57" spans="1:48" ht="12.75">
      <c r="A57" s="87" t="s">
        <v>107</v>
      </c>
      <c r="B57" s="87"/>
      <c r="C57" s="87" t="s">
        <v>175</v>
      </c>
      <c r="D57" s="87" t="s">
        <v>255</v>
      </c>
      <c r="E57" s="87" t="s">
        <v>294</v>
      </c>
      <c r="F57" s="96">
        <v>6</v>
      </c>
      <c r="G57" s="96">
        <v>0</v>
      </c>
      <c r="H57" s="96">
        <f>F57*AE57</f>
        <v>0</v>
      </c>
      <c r="I57" s="96">
        <f>J57-H57</f>
        <v>0</v>
      </c>
      <c r="J57" s="96">
        <f>F57*G57</f>
        <v>0</v>
      </c>
      <c r="K57" s="96">
        <v>0.014</v>
      </c>
      <c r="L57" s="96">
        <f>F57*K57</f>
        <v>0.084</v>
      </c>
      <c r="M57" s="105" t="s">
        <v>308</v>
      </c>
      <c r="P57" s="79">
        <f>IF(AG57="5",J57,0)</f>
        <v>0</v>
      </c>
      <c r="R57" s="79">
        <f>IF(AG57="1",H57,0)</f>
        <v>0</v>
      </c>
      <c r="S57" s="79">
        <f>IF(AG57="1",I57,0)</f>
        <v>0</v>
      </c>
      <c r="T57" s="79">
        <f>IF(AG57="7",H57,0)</f>
        <v>0</v>
      </c>
      <c r="U57" s="79">
        <f>IF(AG57="7",I57,0)</f>
        <v>0</v>
      </c>
      <c r="V57" s="79">
        <f>IF(AG57="2",H57,0)</f>
        <v>0</v>
      </c>
      <c r="W57" s="79">
        <f>IF(AG57="2",I57,0)</f>
        <v>0</v>
      </c>
      <c r="X57" s="79">
        <f>IF(AG57="0",J57,0)</f>
        <v>0</v>
      </c>
      <c r="Y57" s="101"/>
      <c r="Z57" s="96">
        <f>IF(AD57=0,J57,0)</f>
        <v>0</v>
      </c>
      <c r="AA57" s="96">
        <f>IF(AD57=15,J57,0)</f>
        <v>0</v>
      </c>
      <c r="AB57" s="96">
        <f>IF(AD57=21,J57,0)</f>
        <v>0</v>
      </c>
      <c r="AD57" s="79">
        <v>15</v>
      </c>
      <c r="AE57" s="79">
        <f>G57*1</f>
        <v>0</v>
      </c>
      <c r="AF57" s="79">
        <f>G57*(1-1)</f>
        <v>0</v>
      </c>
      <c r="AG57" s="105" t="s">
        <v>78</v>
      </c>
      <c r="AM57" s="79">
        <f>F57*AE57</f>
        <v>0</v>
      </c>
      <c r="AN57" s="79">
        <f>F57*AF57</f>
        <v>0</v>
      </c>
      <c r="AO57" s="107" t="s">
        <v>326</v>
      </c>
      <c r="AP57" s="107" t="s">
        <v>337</v>
      </c>
      <c r="AQ57" s="101" t="s">
        <v>340</v>
      </c>
      <c r="AS57" s="79">
        <f>AM57+AN57</f>
        <v>0</v>
      </c>
      <c r="AT57" s="79">
        <f>G57/(100-AU57)*100</f>
        <v>0</v>
      </c>
      <c r="AU57" s="79">
        <v>0</v>
      </c>
      <c r="AV57" s="79">
        <f>L57</f>
        <v>0.084</v>
      </c>
    </row>
    <row r="58" spans="1:37" ht="12.75">
      <c r="A58" s="85"/>
      <c r="B58" s="92"/>
      <c r="C58" s="92" t="s">
        <v>176</v>
      </c>
      <c r="D58" s="92" t="s">
        <v>256</v>
      </c>
      <c r="E58" s="85" t="s">
        <v>58</v>
      </c>
      <c r="F58" s="85" t="s">
        <v>58</v>
      </c>
      <c r="G58" s="85" t="s">
        <v>58</v>
      </c>
      <c r="H58" s="109">
        <f>SUM(H59:H59)</f>
        <v>0</v>
      </c>
      <c r="I58" s="109">
        <f>SUM(I59:I59)</f>
        <v>0</v>
      </c>
      <c r="J58" s="109">
        <f>H58+I58</f>
        <v>0</v>
      </c>
      <c r="K58" s="101"/>
      <c r="L58" s="109">
        <f>SUM(L59:L59)</f>
        <v>0.00046446</v>
      </c>
      <c r="M58" s="101"/>
      <c r="Y58" s="101"/>
      <c r="AI58" s="109">
        <f>SUM(Z59:Z59)</f>
        <v>0</v>
      </c>
      <c r="AJ58" s="109">
        <f>SUM(AA59:AA59)</f>
        <v>0</v>
      </c>
      <c r="AK58" s="109">
        <f>SUM(AB59:AB59)</f>
        <v>0</v>
      </c>
    </row>
    <row r="59" spans="1:48" ht="12.75">
      <c r="A59" s="86" t="s">
        <v>108</v>
      </c>
      <c r="B59" s="86"/>
      <c r="C59" s="86" t="s">
        <v>177</v>
      </c>
      <c r="D59" s="86" t="s">
        <v>257</v>
      </c>
      <c r="E59" s="86" t="s">
        <v>295</v>
      </c>
      <c r="F59" s="95">
        <v>7.741</v>
      </c>
      <c r="G59" s="95">
        <v>0</v>
      </c>
      <c r="H59" s="95">
        <f>F59*AE59</f>
        <v>0</v>
      </c>
      <c r="I59" s="95">
        <f>J59-H59</f>
        <v>0</v>
      </c>
      <c r="J59" s="95">
        <f>F59*G59</f>
        <v>0</v>
      </c>
      <c r="K59" s="95">
        <v>6E-05</v>
      </c>
      <c r="L59" s="95">
        <f>F59*K59</f>
        <v>0.00046446</v>
      </c>
      <c r="M59" s="104" t="s">
        <v>308</v>
      </c>
      <c r="P59" s="79">
        <f>IF(AG59="5",J59,0)</f>
        <v>0</v>
      </c>
      <c r="R59" s="79">
        <f>IF(AG59="1",H59,0)</f>
        <v>0</v>
      </c>
      <c r="S59" s="79">
        <f>IF(AG59="1",I59,0)</f>
        <v>0</v>
      </c>
      <c r="T59" s="79">
        <f>IF(AG59="7",H59,0)</f>
        <v>0</v>
      </c>
      <c r="U59" s="79">
        <f>IF(AG59="7",I59,0)</f>
        <v>0</v>
      </c>
      <c r="V59" s="79">
        <f>IF(AG59="2",H59,0)</f>
        <v>0</v>
      </c>
      <c r="W59" s="79">
        <f>IF(AG59="2",I59,0)</f>
        <v>0</v>
      </c>
      <c r="X59" s="79">
        <f>IF(AG59="0",J59,0)</f>
        <v>0</v>
      </c>
      <c r="Y59" s="101"/>
      <c r="Z59" s="95">
        <f>IF(AD59=0,J59,0)</f>
        <v>0</v>
      </c>
      <c r="AA59" s="95">
        <f>IF(AD59=15,J59,0)</f>
        <v>0</v>
      </c>
      <c r="AB59" s="95">
        <f>IF(AD59=21,J59,0)</f>
        <v>0</v>
      </c>
      <c r="AD59" s="79">
        <v>15</v>
      </c>
      <c r="AE59" s="79">
        <f>G59*0.0785919873292071</f>
        <v>0</v>
      </c>
      <c r="AF59" s="79">
        <f>G59*(1-0.0785919873292071)</f>
        <v>0</v>
      </c>
      <c r="AG59" s="104" t="s">
        <v>78</v>
      </c>
      <c r="AM59" s="79">
        <f>F59*AE59</f>
        <v>0</v>
      </c>
      <c r="AN59" s="79">
        <f>F59*AF59</f>
        <v>0</v>
      </c>
      <c r="AO59" s="107" t="s">
        <v>327</v>
      </c>
      <c r="AP59" s="107" t="s">
        <v>337</v>
      </c>
      <c r="AQ59" s="101" t="s">
        <v>340</v>
      </c>
      <c r="AS59" s="79">
        <f>AM59+AN59</f>
        <v>0</v>
      </c>
      <c r="AT59" s="79">
        <f>G59/(100-AU59)*100</f>
        <v>0</v>
      </c>
      <c r="AU59" s="79">
        <v>0</v>
      </c>
      <c r="AV59" s="79">
        <f>L59</f>
        <v>0.00046446</v>
      </c>
    </row>
    <row r="60" spans="1:37" ht="12.75">
      <c r="A60" s="85"/>
      <c r="B60" s="92"/>
      <c r="C60" s="92" t="s">
        <v>178</v>
      </c>
      <c r="D60" s="92" t="s">
        <v>258</v>
      </c>
      <c r="E60" s="85" t="s">
        <v>58</v>
      </c>
      <c r="F60" s="85" t="s">
        <v>58</v>
      </c>
      <c r="G60" s="85" t="s">
        <v>58</v>
      </c>
      <c r="H60" s="109">
        <f>SUM(H61:H61)</f>
        <v>0</v>
      </c>
      <c r="I60" s="109">
        <f>SUM(I61:I61)</f>
        <v>0</v>
      </c>
      <c r="J60" s="109">
        <f>H60+I60</f>
        <v>0</v>
      </c>
      <c r="K60" s="101"/>
      <c r="L60" s="109">
        <f>SUM(L61:L61)</f>
        <v>0.017856</v>
      </c>
      <c r="M60" s="101"/>
      <c r="Y60" s="101"/>
      <c r="AI60" s="109">
        <f>SUM(Z61:Z61)</f>
        <v>0</v>
      </c>
      <c r="AJ60" s="109">
        <f>SUM(AA61:AA61)</f>
        <v>0</v>
      </c>
      <c r="AK60" s="109">
        <f>SUM(AB61:AB61)</f>
        <v>0</v>
      </c>
    </row>
    <row r="61" spans="1:48" ht="12.75">
      <c r="A61" s="86" t="s">
        <v>109</v>
      </c>
      <c r="B61" s="86"/>
      <c r="C61" s="86" t="s">
        <v>179</v>
      </c>
      <c r="D61" s="86" t="s">
        <v>259</v>
      </c>
      <c r="E61" s="86" t="s">
        <v>289</v>
      </c>
      <c r="F61" s="95">
        <v>28.8</v>
      </c>
      <c r="G61" s="95">
        <v>0</v>
      </c>
      <c r="H61" s="95">
        <f>F61*AE61</f>
        <v>0</v>
      </c>
      <c r="I61" s="95">
        <f>J61-H61</f>
        <v>0</v>
      </c>
      <c r="J61" s="95">
        <f>F61*G61</f>
        <v>0</v>
      </c>
      <c r="K61" s="95">
        <v>0.00062</v>
      </c>
      <c r="L61" s="95">
        <f>F61*K61</f>
        <v>0.017856</v>
      </c>
      <c r="M61" s="104" t="s">
        <v>308</v>
      </c>
      <c r="P61" s="79">
        <f>IF(AG61="5",J61,0)</f>
        <v>0</v>
      </c>
      <c r="R61" s="79">
        <f>IF(AG61="1",H61,0)</f>
        <v>0</v>
      </c>
      <c r="S61" s="79">
        <f>IF(AG61="1",I61,0)</f>
        <v>0</v>
      </c>
      <c r="T61" s="79">
        <f>IF(AG61="7",H61,0)</f>
        <v>0</v>
      </c>
      <c r="U61" s="79">
        <f>IF(AG61="7",I61,0)</f>
        <v>0</v>
      </c>
      <c r="V61" s="79">
        <f>IF(AG61="2",H61,0)</f>
        <v>0</v>
      </c>
      <c r="W61" s="79">
        <f>IF(AG61="2",I61,0)</f>
        <v>0</v>
      </c>
      <c r="X61" s="79">
        <f>IF(AG61="0",J61,0)</f>
        <v>0</v>
      </c>
      <c r="Y61" s="101"/>
      <c r="Z61" s="95">
        <f>IF(AD61=0,J61,0)</f>
        <v>0</v>
      </c>
      <c r="AA61" s="95">
        <f>IF(AD61=15,J61,0)</f>
        <v>0</v>
      </c>
      <c r="AB61" s="95">
        <f>IF(AD61=21,J61,0)</f>
        <v>0</v>
      </c>
      <c r="AD61" s="79">
        <v>15</v>
      </c>
      <c r="AE61" s="79">
        <f>G61*0.222352941176471</f>
        <v>0</v>
      </c>
      <c r="AF61" s="79">
        <f>G61*(1-0.222352941176471)</f>
        <v>0</v>
      </c>
      <c r="AG61" s="104" t="s">
        <v>78</v>
      </c>
      <c r="AM61" s="79">
        <f>F61*AE61</f>
        <v>0</v>
      </c>
      <c r="AN61" s="79">
        <f>F61*AF61</f>
        <v>0</v>
      </c>
      <c r="AO61" s="107" t="s">
        <v>328</v>
      </c>
      <c r="AP61" s="107" t="s">
        <v>338</v>
      </c>
      <c r="AQ61" s="101" t="s">
        <v>340</v>
      </c>
      <c r="AS61" s="79">
        <f>AM61+AN61</f>
        <v>0</v>
      </c>
      <c r="AT61" s="79">
        <f>G61/(100-AU61)*100</f>
        <v>0</v>
      </c>
      <c r="AU61" s="79">
        <v>0</v>
      </c>
      <c r="AV61" s="79">
        <f>L61</f>
        <v>0.017856</v>
      </c>
    </row>
    <row r="62" spans="1:37" ht="12.75">
      <c r="A62" s="85"/>
      <c r="B62" s="92"/>
      <c r="C62" s="92" t="s">
        <v>180</v>
      </c>
      <c r="D62" s="92" t="s">
        <v>260</v>
      </c>
      <c r="E62" s="85" t="s">
        <v>58</v>
      </c>
      <c r="F62" s="85" t="s">
        <v>58</v>
      </c>
      <c r="G62" s="85" t="s">
        <v>58</v>
      </c>
      <c r="H62" s="109">
        <f>SUM(H63:H70)</f>
        <v>0</v>
      </c>
      <c r="I62" s="109">
        <f>SUM(I63:I70)</f>
        <v>0</v>
      </c>
      <c r="J62" s="109">
        <f>H62+I62</f>
        <v>0</v>
      </c>
      <c r="K62" s="101"/>
      <c r="L62" s="109">
        <f>SUM(L63:L70)</f>
        <v>13.5436</v>
      </c>
      <c r="M62" s="101"/>
      <c r="Y62" s="101"/>
      <c r="AI62" s="109">
        <f>SUM(Z63:Z70)</f>
        <v>0</v>
      </c>
      <c r="AJ62" s="109">
        <f>SUM(AA63:AA70)</f>
        <v>0</v>
      </c>
      <c r="AK62" s="109">
        <f>SUM(AB63:AB70)</f>
        <v>0</v>
      </c>
    </row>
    <row r="63" spans="1:48" ht="12.75">
      <c r="A63" s="86" t="s">
        <v>110</v>
      </c>
      <c r="B63" s="86"/>
      <c r="C63" s="86" t="s">
        <v>181</v>
      </c>
      <c r="D63" s="86" t="s">
        <v>261</v>
      </c>
      <c r="E63" s="86" t="s">
        <v>291</v>
      </c>
      <c r="F63" s="95">
        <v>1</v>
      </c>
      <c r="G63" s="95">
        <v>0</v>
      </c>
      <c r="H63" s="95">
        <f>F63*AE63</f>
        <v>0</v>
      </c>
      <c r="I63" s="95">
        <f>J63-H63</f>
        <v>0</v>
      </c>
      <c r="J63" s="95">
        <f>F63*G63</f>
        <v>0</v>
      </c>
      <c r="K63" s="95">
        <v>0</v>
      </c>
      <c r="L63" s="95">
        <f>F63*K63</f>
        <v>0</v>
      </c>
      <c r="M63" s="104"/>
      <c r="P63" s="79">
        <f>IF(AG63="5",J63,0)</f>
        <v>0</v>
      </c>
      <c r="R63" s="79">
        <f>IF(AG63="1",H63,0)</f>
        <v>0</v>
      </c>
      <c r="S63" s="79">
        <f>IF(AG63="1",I63,0)</f>
        <v>0</v>
      </c>
      <c r="T63" s="79">
        <f>IF(AG63="7",H63,0)</f>
        <v>0</v>
      </c>
      <c r="U63" s="79">
        <f>IF(AG63="7",I63,0)</f>
        <v>0</v>
      </c>
      <c r="V63" s="79">
        <f>IF(AG63="2",H63,0)</f>
        <v>0</v>
      </c>
      <c r="W63" s="79">
        <f>IF(AG63="2",I63,0)</f>
        <v>0</v>
      </c>
      <c r="X63" s="79">
        <f>IF(AG63="0",J63,0)</f>
        <v>0</v>
      </c>
      <c r="Y63" s="101"/>
      <c r="Z63" s="95">
        <f>IF(AD63=0,J63,0)</f>
        <v>0</v>
      </c>
      <c r="AA63" s="95">
        <f>IF(AD63=15,J63,0)</f>
        <v>0</v>
      </c>
      <c r="AB63" s="95">
        <f>IF(AD63=21,J63,0)</f>
        <v>0</v>
      </c>
      <c r="AD63" s="79">
        <v>15</v>
      </c>
      <c r="AE63" s="79">
        <f>G63*0</f>
        <v>0</v>
      </c>
      <c r="AF63" s="79">
        <f>G63*(1-0)</f>
        <v>0</v>
      </c>
      <c r="AG63" s="104" t="s">
        <v>72</v>
      </c>
      <c r="AM63" s="79">
        <f>F63*AE63</f>
        <v>0</v>
      </c>
      <c r="AN63" s="79">
        <f>F63*AF63</f>
        <v>0</v>
      </c>
      <c r="AO63" s="107" t="s">
        <v>329</v>
      </c>
      <c r="AP63" s="107" t="s">
        <v>339</v>
      </c>
      <c r="AQ63" s="101" t="s">
        <v>340</v>
      </c>
      <c r="AS63" s="79">
        <f>AM63+AN63</f>
        <v>0</v>
      </c>
      <c r="AT63" s="79">
        <f>G63/(100-AU63)*100</f>
        <v>0</v>
      </c>
      <c r="AU63" s="79">
        <v>0</v>
      </c>
      <c r="AV63" s="79">
        <f>L63</f>
        <v>0</v>
      </c>
    </row>
    <row r="64" spans="1:48" ht="12.75">
      <c r="A64" s="86" t="s">
        <v>111</v>
      </c>
      <c r="B64" s="86"/>
      <c r="C64" s="86" t="s">
        <v>182</v>
      </c>
      <c r="D64" s="86" t="s">
        <v>262</v>
      </c>
      <c r="E64" s="86" t="s">
        <v>289</v>
      </c>
      <c r="F64" s="95">
        <v>33.9</v>
      </c>
      <c r="G64" s="95">
        <v>0</v>
      </c>
      <c r="H64" s="95">
        <f>F64*AE64</f>
        <v>0</v>
      </c>
      <c r="I64" s="95">
        <f>J64-H64</f>
        <v>0</v>
      </c>
      <c r="J64" s="95">
        <f>F64*G64</f>
        <v>0</v>
      </c>
      <c r="K64" s="95">
        <v>0</v>
      </c>
      <c r="L64" s="95">
        <f>F64*K64</f>
        <v>0</v>
      </c>
      <c r="M64" s="104"/>
      <c r="P64" s="79">
        <f>IF(AG64="5",J64,0)</f>
        <v>0</v>
      </c>
      <c r="R64" s="79">
        <f>IF(AG64="1",H64,0)</f>
        <v>0</v>
      </c>
      <c r="S64" s="79">
        <f>IF(AG64="1",I64,0)</f>
        <v>0</v>
      </c>
      <c r="T64" s="79">
        <f>IF(AG64="7",H64,0)</f>
        <v>0</v>
      </c>
      <c r="U64" s="79">
        <f>IF(AG64="7",I64,0)</f>
        <v>0</v>
      </c>
      <c r="V64" s="79">
        <f>IF(AG64="2",H64,0)</f>
        <v>0</v>
      </c>
      <c r="W64" s="79">
        <f>IF(AG64="2",I64,0)</f>
        <v>0</v>
      </c>
      <c r="X64" s="79">
        <f>IF(AG64="0",J64,0)</f>
        <v>0</v>
      </c>
      <c r="Y64" s="101"/>
      <c r="Z64" s="95">
        <f>IF(AD64=0,J64,0)</f>
        <v>0</v>
      </c>
      <c r="AA64" s="95">
        <f>IF(AD64=15,J64,0)</f>
        <v>0</v>
      </c>
      <c r="AB64" s="95">
        <f>IF(AD64=21,J64,0)</f>
        <v>0</v>
      </c>
      <c r="AD64" s="79">
        <v>15</v>
      </c>
      <c r="AE64" s="79">
        <f>G64*0.46668</f>
        <v>0</v>
      </c>
      <c r="AF64" s="79">
        <f>G64*(1-0.46668)</f>
        <v>0</v>
      </c>
      <c r="AG64" s="104" t="s">
        <v>72</v>
      </c>
      <c r="AM64" s="79">
        <f>F64*AE64</f>
        <v>0</v>
      </c>
      <c r="AN64" s="79">
        <f>F64*AF64</f>
        <v>0</v>
      </c>
      <c r="AO64" s="107" t="s">
        <v>329</v>
      </c>
      <c r="AP64" s="107" t="s">
        <v>339</v>
      </c>
      <c r="AQ64" s="101" t="s">
        <v>340</v>
      </c>
      <c r="AS64" s="79">
        <f>AM64+AN64</f>
        <v>0</v>
      </c>
      <c r="AT64" s="79">
        <f>G64/(100-AU64)*100</f>
        <v>0</v>
      </c>
      <c r="AU64" s="79">
        <v>0</v>
      </c>
      <c r="AV64" s="79">
        <f>L64</f>
        <v>0</v>
      </c>
    </row>
    <row r="65" spans="1:48" ht="12.75">
      <c r="A65" s="86" t="s">
        <v>112</v>
      </c>
      <c r="B65" s="86"/>
      <c r="C65" s="86" t="s">
        <v>183</v>
      </c>
      <c r="D65" s="86" t="s">
        <v>263</v>
      </c>
      <c r="E65" s="86" t="s">
        <v>289</v>
      </c>
      <c r="F65" s="95">
        <v>345.5</v>
      </c>
      <c r="G65" s="95">
        <v>0</v>
      </c>
      <c r="H65" s="95">
        <f>F65*AE65</f>
        <v>0</v>
      </c>
      <c r="I65" s="95">
        <f>J65-H65</f>
        <v>0</v>
      </c>
      <c r="J65" s="95">
        <f>F65*G65</f>
        <v>0</v>
      </c>
      <c r="K65" s="95">
        <v>0</v>
      </c>
      <c r="L65" s="95">
        <f>F65*K65</f>
        <v>0</v>
      </c>
      <c r="M65" s="104" t="s">
        <v>308</v>
      </c>
      <c r="P65" s="79">
        <f>IF(AG65="5",J65,0)</f>
        <v>0</v>
      </c>
      <c r="R65" s="79">
        <f>IF(AG65="1",H65,0)</f>
        <v>0</v>
      </c>
      <c r="S65" s="79">
        <f>IF(AG65="1",I65,0)</f>
        <v>0</v>
      </c>
      <c r="T65" s="79">
        <f>IF(AG65="7",H65,0)</f>
        <v>0</v>
      </c>
      <c r="U65" s="79">
        <f>IF(AG65="7",I65,0)</f>
        <v>0</v>
      </c>
      <c r="V65" s="79">
        <f>IF(AG65="2",H65,0)</f>
        <v>0</v>
      </c>
      <c r="W65" s="79">
        <f>IF(AG65="2",I65,0)</f>
        <v>0</v>
      </c>
      <c r="X65" s="79">
        <f>IF(AG65="0",J65,0)</f>
        <v>0</v>
      </c>
      <c r="Y65" s="101"/>
      <c r="Z65" s="95">
        <f>IF(AD65=0,J65,0)</f>
        <v>0</v>
      </c>
      <c r="AA65" s="95">
        <f>IF(AD65=15,J65,0)</f>
        <v>0</v>
      </c>
      <c r="AB65" s="95">
        <f>IF(AD65=21,J65,0)</f>
        <v>0</v>
      </c>
      <c r="AD65" s="79">
        <v>15</v>
      </c>
      <c r="AE65" s="79">
        <f>G65*0</f>
        <v>0</v>
      </c>
      <c r="AF65" s="79">
        <f>G65*(1-0)</f>
        <v>0</v>
      </c>
      <c r="AG65" s="104" t="s">
        <v>72</v>
      </c>
      <c r="AM65" s="79">
        <f>F65*AE65</f>
        <v>0</v>
      </c>
      <c r="AN65" s="79">
        <f>F65*AF65</f>
        <v>0</v>
      </c>
      <c r="AO65" s="107" t="s">
        <v>329</v>
      </c>
      <c r="AP65" s="107" t="s">
        <v>339</v>
      </c>
      <c r="AQ65" s="101" t="s">
        <v>340</v>
      </c>
      <c r="AS65" s="79">
        <f>AM65+AN65</f>
        <v>0</v>
      </c>
      <c r="AT65" s="79">
        <f>G65/(100-AU65)*100</f>
        <v>0</v>
      </c>
      <c r="AU65" s="79">
        <v>0</v>
      </c>
      <c r="AV65" s="79">
        <f>L65</f>
        <v>0</v>
      </c>
    </row>
    <row r="66" spans="1:48" ht="12.75">
      <c r="A66" s="86" t="s">
        <v>113</v>
      </c>
      <c r="B66" s="86"/>
      <c r="C66" s="86" t="s">
        <v>184</v>
      </c>
      <c r="D66" s="86" t="s">
        <v>264</v>
      </c>
      <c r="E66" s="86" t="s">
        <v>289</v>
      </c>
      <c r="F66" s="95">
        <v>345.5</v>
      </c>
      <c r="G66" s="95">
        <v>0</v>
      </c>
      <c r="H66" s="95">
        <f>F66*AE66</f>
        <v>0</v>
      </c>
      <c r="I66" s="95">
        <f>J66-H66</f>
        <v>0</v>
      </c>
      <c r="J66" s="95">
        <f>F66*G66</f>
        <v>0</v>
      </c>
      <c r="K66" s="95">
        <v>0.0331</v>
      </c>
      <c r="L66" s="95">
        <f>F66*K66</f>
        <v>11.43605</v>
      </c>
      <c r="M66" s="104" t="s">
        <v>308</v>
      </c>
      <c r="P66" s="79">
        <f>IF(AG66="5",J66,0)</f>
        <v>0</v>
      </c>
      <c r="R66" s="79">
        <f>IF(AG66="1",H66,0)</f>
        <v>0</v>
      </c>
      <c r="S66" s="79">
        <f>IF(AG66="1",I66,0)</f>
        <v>0</v>
      </c>
      <c r="T66" s="79">
        <f>IF(AG66="7",H66,0)</f>
        <v>0</v>
      </c>
      <c r="U66" s="79">
        <f>IF(AG66="7",I66,0)</f>
        <v>0</v>
      </c>
      <c r="V66" s="79">
        <f>IF(AG66="2",H66,0)</f>
        <v>0</v>
      </c>
      <c r="W66" s="79">
        <f>IF(AG66="2",I66,0)</f>
        <v>0</v>
      </c>
      <c r="X66" s="79">
        <f>IF(AG66="0",J66,0)</f>
        <v>0</v>
      </c>
      <c r="Y66" s="101"/>
      <c r="Z66" s="95">
        <f>IF(AD66=0,J66,0)</f>
        <v>0</v>
      </c>
      <c r="AA66" s="95">
        <f>IF(AD66=15,J66,0)</f>
        <v>0</v>
      </c>
      <c r="AB66" s="95">
        <f>IF(AD66=21,J66,0)</f>
        <v>0</v>
      </c>
      <c r="AD66" s="79">
        <v>15</v>
      </c>
      <c r="AE66" s="79">
        <f>G66*0.0107272727272727</f>
        <v>0</v>
      </c>
      <c r="AF66" s="79">
        <f>G66*(1-0.0107272727272727)</f>
        <v>0</v>
      </c>
      <c r="AG66" s="104" t="s">
        <v>72</v>
      </c>
      <c r="AM66" s="79">
        <f>F66*AE66</f>
        <v>0</v>
      </c>
      <c r="AN66" s="79">
        <f>F66*AF66</f>
        <v>0</v>
      </c>
      <c r="AO66" s="107" t="s">
        <v>329</v>
      </c>
      <c r="AP66" s="107" t="s">
        <v>339</v>
      </c>
      <c r="AQ66" s="101" t="s">
        <v>340</v>
      </c>
      <c r="AS66" s="79">
        <f>AM66+AN66</f>
        <v>0</v>
      </c>
      <c r="AT66" s="79">
        <f>G66/(100-AU66)*100</f>
        <v>0</v>
      </c>
      <c r="AU66" s="79">
        <v>0</v>
      </c>
      <c r="AV66" s="79">
        <f>L66</f>
        <v>11.43605</v>
      </c>
    </row>
    <row r="67" spans="1:48" ht="12.75">
      <c r="A67" s="86" t="s">
        <v>114</v>
      </c>
      <c r="B67" s="86"/>
      <c r="C67" s="86" t="s">
        <v>185</v>
      </c>
      <c r="D67" s="86" t="s">
        <v>265</v>
      </c>
      <c r="E67" s="86" t="s">
        <v>289</v>
      </c>
      <c r="F67" s="95">
        <v>691</v>
      </c>
      <c r="G67" s="95">
        <v>0</v>
      </c>
      <c r="H67" s="95">
        <f>F67*AE67</f>
        <v>0</v>
      </c>
      <c r="I67" s="95">
        <f>J67-H67</f>
        <v>0</v>
      </c>
      <c r="J67" s="95">
        <f>F67*G67</f>
        <v>0</v>
      </c>
      <c r="K67" s="95">
        <v>0.003</v>
      </c>
      <c r="L67" s="95">
        <f>F67*K67</f>
        <v>2.073</v>
      </c>
      <c r="M67" s="104" t="s">
        <v>308</v>
      </c>
      <c r="P67" s="79">
        <f>IF(AG67="5",J67,0)</f>
        <v>0</v>
      </c>
      <c r="R67" s="79">
        <f>IF(AG67="1",H67,0)</f>
        <v>0</v>
      </c>
      <c r="S67" s="79">
        <f>IF(AG67="1",I67,0)</f>
        <v>0</v>
      </c>
      <c r="T67" s="79">
        <f>IF(AG67="7",H67,0)</f>
        <v>0</v>
      </c>
      <c r="U67" s="79">
        <f>IF(AG67="7",I67,0)</f>
        <v>0</v>
      </c>
      <c r="V67" s="79">
        <f>IF(AG67="2",H67,0)</f>
        <v>0</v>
      </c>
      <c r="W67" s="79">
        <f>IF(AG67="2",I67,0)</f>
        <v>0</v>
      </c>
      <c r="X67" s="79">
        <f>IF(AG67="0",J67,0)</f>
        <v>0</v>
      </c>
      <c r="Y67" s="101"/>
      <c r="Z67" s="95">
        <f>IF(AD67=0,J67,0)</f>
        <v>0</v>
      </c>
      <c r="AA67" s="95">
        <f>IF(AD67=15,J67,0)</f>
        <v>0</v>
      </c>
      <c r="AB67" s="95">
        <f>IF(AD67=21,J67,0)</f>
        <v>0</v>
      </c>
      <c r="AD67" s="79">
        <v>15</v>
      </c>
      <c r="AE67" s="79">
        <f>G67*0.930696202531646</f>
        <v>0</v>
      </c>
      <c r="AF67" s="79">
        <f>G67*(1-0.930696202531646)</f>
        <v>0</v>
      </c>
      <c r="AG67" s="104" t="s">
        <v>72</v>
      </c>
      <c r="AM67" s="79">
        <f>F67*AE67</f>
        <v>0</v>
      </c>
      <c r="AN67" s="79">
        <f>F67*AF67</f>
        <v>0</v>
      </c>
      <c r="AO67" s="107" t="s">
        <v>329</v>
      </c>
      <c r="AP67" s="107" t="s">
        <v>339</v>
      </c>
      <c r="AQ67" s="101" t="s">
        <v>340</v>
      </c>
      <c r="AS67" s="79">
        <f>AM67+AN67</f>
        <v>0</v>
      </c>
      <c r="AT67" s="79">
        <f>G67/(100-AU67)*100</f>
        <v>0</v>
      </c>
      <c r="AU67" s="79">
        <v>0</v>
      </c>
      <c r="AV67" s="79">
        <f>L67</f>
        <v>2.073</v>
      </c>
    </row>
    <row r="68" spans="1:48" ht="12.75">
      <c r="A68" s="86" t="s">
        <v>115</v>
      </c>
      <c r="B68" s="86"/>
      <c r="C68" s="86" t="s">
        <v>186</v>
      </c>
      <c r="D68" s="86" t="s">
        <v>266</v>
      </c>
      <c r="E68" s="86" t="s">
        <v>289</v>
      </c>
      <c r="F68" s="95">
        <v>345.5</v>
      </c>
      <c r="G68" s="95">
        <v>0</v>
      </c>
      <c r="H68" s="95">
        <f>F68*AE68</f>
        <v>0</v>
      </c>
      <c r="I68" s="95">
        <f>J68-H68</f>
        <v>0</v>
      </c>
      <c r="J68" s="95">
        <f>F68*G68</f>
        <v>0</v>
      </c>
      <c r="K68" s="95">
        <v>0</v>
      </c>
      <c r="L68" s="95">
        <f>F68*K68</f>
        <v>0</v>
      </c>
      <c r="M68" s="104" t="s">
        <v>308</v>
      </c>
      <c r="P68" s="79">
        <f>IF(AG68="5",J68,0)</f>
        <v>0</v>
      </c>
      <c r="R68" s="79">
        <f>IF(AG68="1",H68,0)</f>
        <v>0</v>
      </c>
      <c r="S68" s="79">
        <f>IF(AG68="1",I68,0)</f>
        <v>0</v>
      </c>
      <c r="T68" s="79">
        <f>IF(AG68="7",H68,0)</f>
        <v>0</v>
      </c>
      <c r="U68" s="79">
        <f>IF(AG68="7",I68,0)</f>
        <v>0</v>
      </c>
      <c r="V68" s="79">
        <f>IF(AG68="2",H68,0)</f>
        <v>0</v>
      </c>
      <c r="W68" s="79">
        <f>IF(AG68="2",I68,0)</f>
        <v>0</v>
      </c>
      <c r="X68" s="79">
        <f>IF(AG68="0",J68,0)</f>
        <v>0</v>
      </c>
      <c r="Y68" s="101"/>
      <c r="Z68" s="95">
        <f>IF(AD68=0,J68,0)</f>
        <v>0</v>
      </c>
      <c r="AA68" s="95">
        <f>IF(AD68=15,J68,0)</f>
        <v>0</v>
      </c>
      <c r="AB68" s="95">
        <f>IF(AD68=21,J68,0)</f>
        <v>0</v>
      </c>
      <c r="AD68" s="79">
        <v>15</v>
      </c>
      <c r="AE68" s="79">
        <f>G68*0</f>
        <v>0</v>
      </c>
      <c r="AF68" s="79">
        <f>G68*(1-0)</f>
        <v>0</v>
      </c>
      <c r="AG68" s="104" t="s">
        <v>72</v>
      </c>
      <c r="AM68" s="79">
        <f>F68*AE68</f>
        <v>0</v>
      </c>
      <c r="AN68" s="79">
        <f>F68*AF68</f>
        <v>0</v>
      </c>
      <c r="AO68" s="107" t="s">
        <v>329</v>
      </c>
      <c r="AP68" s="107" t="s">
        <v>339</v>
      </c>
      <c r="AQ68" s="101" t="s">
        <v>340</v>
      </c>
      <c r="AS68" s="79">
        <f>AM68+AN68</f>
        <v>0</v>
      </c>
      <c r="AT68" s="79">
        <f>G68/(100-AU68)*100</f>
        <v>0</v>
      </c>
      <c r="AU68" s="79">
        <v>0</v>
      </c>
      <c r="AV68" s="79">
        <f>L68</f>
        <v>0</v>
      </c>
    </row>
    <row r="69" spans="1:48" ht="12.75">
      <c r="A69" s="86" t="s">
        <v>116</v>
      </c>
      <c r="B69" s="86"/>
      <c r="C69" s="86" t="s">
        <v>187</v>
      </c>
      <c r="D69" s="86" t="s">
        <v>267</v>
      </c>
      <c r="E69" s="86" t="s">
        <v>289</v>
      </c>
      <c r="F69" s="95">
        <v>691</v>
      </c>
      <c r="G69" s="95">
        <v>0</v>
      </c>
      <c r="H69" s="95">
        <f>F69*AE69</f>
        <v>0</v>
      </c>
      <c r="I69" s="95">
        <f>J69-H69</f>
        <v>0</v>
      </c>
      <c r="J69" s="95">
        <f>F69*G69</f>
        <v>0</v>
      </c>
      <c r="K69" s="95">
        <v>5E-05</v>
      </c>
      <c r="L69" s="95">
        <f>F69*K69</f>
        <v>0.034550000000000004</v>
      </c>
      <c r="M69" s="104" t="s">
        <v>308</v>
      </c>
      <c r="P69" s="79">
        <f>IF(AG69="5",J69,0)</f>
        <v>0</v>
      </c>
      <c r="R69" s="79">
        <f>IF(AG69="1",H69,0)</f>
        <v>0</v>
      </c>
      <c r="S69" s="79">
        <f>IF(AG69="1",I69,0)</f>
        <v>0</v>
      </c>
      <c r="T69" s="79">
        <f>IF(AG69="7",H69,0)</f>
        <v>0</v>
      </c>
      <c r="U69" s="79">
        <f>IF(AG69="7",I69,0)</f>
        <v>0</v>
      </c>
      <c r="V69" s="79">
        <f>IF(AG69="2",H69,0)</f>
        <v>0</v>
      </c>
      <c r="W69" s="79">
        <f>IF(AG69="2",I69,0)</f>
        <v>0</v>
      </c>
      <c r="X69" s="79">
        <f>IF(AG69="0",J69,0)</f>
        <v>0</v>
      </c>
      <c r="Y69" s="101"/>
      <c r="Z69" s="95">
        <f>IF(AD69=0,J69,0)</f>
        <v>0</v>
      </c>
      <c r="AA69" s="95">
        <f>IF(AD69=15,J69,0)</f>
        <v>0</v>
      </c>
      <c r="AB69" s="95">
        <f>IF(AD69=21,J69,0)</f>
        <v>0</v>
      </c>
      <c r="AD69" s="79">
        <v>15</v>
      </c>
      <c r="AE69" s="79">
        <f>G69*1</f>
        <v>0</v>
      </c>
      <c r="AF69" s="79">
        <f>G69*(1-1)</f>
        <v>0</v>
      </c>
      <c r="AG69" s="104" t="s">
        <v>72</v>
      </c>
      <c r="AM69" s="79">
        <f>F69*AE69</f>
        <v>0</v>
      </c>
      <c r="AN69" s="79">
        <f>F69*AF69</f>
        <v>0</v>
      </c>
      <c r="AO69" s="107" t="s">
        <v>329</v>
      </c>
      <c r="AP69" s="107" t="s">
        <v>339</v>
      </c>
      <c r="AQ69" s="101" t="s">
        <v>340</v>
      </c>
      <c r="AS69" s="79">
        <f>AM69+AN69</f>
        <v>0</v>
      </c>
      <c r="AT69" s="79">
        <f>G69/(100-AU69)*100</f>
        <v>0</v>
      </c>
      <c r="AU69" s="79">
        <v>0</v>
      </c>
      <c r="AV69" s="79">
        <f>L69</f>
        <v>0.034550000000000004</v>
      </c>
    </row>
    <row r="70" spans="1:48" ht="12.75">
      <c r="A70" s="86" t="s">
        <v>117</v>
      </c>
      <c r="B70" s="86"/>
      <c r="C70" s="86" t="s">
        <v>188</v>
      </c>
      <c r="D70" s="86" t="s">
        <v>268</v>
      </c>
      <c r="E70" s="86" t="s">
        <v>289</v>
      </c>
      <c r="F70" s="95">
        <v>345.5</v>
      </c>
      <c r="G70" s="95">
        <v>0</v>
      </c>
      <c r="H70" s="95">
        <f>F70*AE70</f>
        <v>0</v>
      </c>
      <c r="I70" s="95">
        <f>J70-H70</f>
        <v>0</v>
      </c>
      <c r="J70" s="95">
        <f>F70*G70</f>
        <v>0</v>
      </c>
      <c r="K70" s="95">
        <v>0</v>
      </c>
      <c r="L70" s="95">
        <f>F70*K70</f>
        <v>0</v>
      </c>
      <c r="M70" s="104" t="s">
        <v>308</v>
      </c>
      <c r="P70" s="79">
        <f>IF(AG70="5",J70,0)</f>
        <v>0</v>
      </c>
      <c r="R70" s="79">
        <f>IF(AG70="1",H70,0)</f>
        <v>0</v>
      </c>
      <c r="S70" s="79">
        <f>IF(AG70="1",I70,0)</f>
        <v>0</v>
      </c>
      <c r="T70" s="79">
        <f>IF(AG70="7",H70,0)</f>
        <v>0</v>
      </c>
      <c r="U70" s="79">
        <f>IF(AG70="7",I70,0)</f>
        <v>0</v>
      </c>
      <c r="V70" s="79">
        <f>IF(AG70="2",H70,0)</f>
        <v>0</v>
      </c>
      <c r="W70" s="79">
        <f>IF(AG70="2",I70,0)</f>
        <v>0</v>
      </c>
      <c r="X70" s="79">
        <f>IF(AG70="0",J70,0)</f>
        <v>0</v>
      </c>
      <c r="Y70" s="101"/>
      <c r="Z70" s="95">
        <f>IF(AD70=0,J70,0)</f>
        <v>0</v>
      </c>
      <c r="AA70" s="95">
        <f>IF(AD70=15,J70,0)</f>
        <v>0</v>
      </c>
      <c r="AB70" s="95">
        <f>IF(AD70=21,J70,0)</f>
        <v>0</v>
      </c>
      <c r="AD70" s="79">
        <v>15</v>
      </c>
      <c r="AE70" s="79">
        <f>G70*0</f>
        <v>0</v>
      </c>
      <c r="AF70" s="79">
        <f>G70*(1-0)</f>
        <v>0</v>
      </c>
      <c r="AG70" s="104" t="s">
        <v>72</v>
      </c>
      <c r="AM70" s="79">
        <f>F70*AE70</f>
        <v>0</v>
      </c>
      <c r="AN70" s="79">
        <f>F70*AF70</f>
        <v>0</v>
      </c>
      <c r="AO70" s="107" t="s">
        <v>329</v>
      </c>
      <c r="AP70" s="107" t="s">
        <v>339</v>
      </c>
      <c r="AQ70" s="101" t="s">
        <v>340</v>
      </c>
      <c r="AS70" s="79">
        <f>AM70+AN70</f>
        <v>0</v>
      </c>
      <c r="AT70" s="79">
        <f>G70/(100-AU70)*100</f>
        <v>0</v>
      </c>
      <c r="AU70" s="79">
        <v>0</v>
      </c>
      <c r="AV70" s="79">
        <f>L70</f>
        <v>0</v>
      </c>
    </row>
    <row r="71" spans="1:37" ht="12.75">
      <c r="A71" s="85"/>
      <c r="B71" s="92"/>
      <c r="C71" s="92" t="s">
        <v>189</v>
      </c>
      <c r="D71" s="92" t="s">
        <v>269</v>
      </c>
      <c r="E71" s="85" t="s">
        <v>58</v>
      </c>
      <c r="F71" s="85" t="s">
        <v>58</v>
      </c>
      <c r="G71" s="85" t="s">
        <v>58</v>
      </c>
      <c r="H71" s="109">
        <f>SUM(H72:H72)</f>
        <v>0</v>
      </c>
      <c r="I71" s="109">
        <f>SUM(I72:I72)</f>
        <v>0</v>
      </c>
      <c r="J71" s="109">
        <f>H71+I71</f>
        <v>0</v>
      </c>
      <c r="K71" s="101"/>
      <c r="L71" s="109">
        <f>SUM(L72:L72)</f>
        <v>0.0122445</v>
      </c>
      <c r="M71" s="101"/>
      <c r="Y71" s="101"/>
      <c r="AI71" s="109">
        <f>SUM(Z72:Z72)</f>
        <v>0</v>
      </c>
      <c r="AJ71" s="109">
        <f>SUM(AA72:AA72)</f>
        <v>0</v>
      </c>
      <c r="AK71" s="109">
        <f>SUM(AB72:AB72)</f>
        <v>0</v>
      </c>
    </row>
    <row r="72" spans="1:48" ht="12.75">
      <c r="A72" s="86" t="s">
        <v>118</v>
      </c>
      <c r="B72" s="86"/>
      <c r="C72" s="86" t="s">
        <v>190</v>
      </c>
      <c r="D72" s="86" t="s">
        <v>270</v>
      </c>
      <c r="E72" s="86" t="s">
        <v>292</v>
      </c>
      <c r="F72" s="95">
        <v>27.21</v>
      </c>
      <c r="G72" s="95">
        <v>0</v>
      </c>
      <c r="H72" s="95">
        <f>F72*AE72</f>
        <v>0</v>
      </c>
      <c r="I72" s="95">
        <f>J72-H72</f>
        <v>0</v>
      </c>
      <c r="J72" s="95">
        <f>F72*G72</f>
        <v>0</v>
      </c>
      <c r="K72" s="95">
        <v>0.00045</v>
      </c>
      <c r="L72" s="95">
        <f>F72*K72</f>
        <v>0.0122445</v>
      </c>
      <c r="M72" s="104" t="s">
        <v>308</v>
      </c>
      <c r="P72" s="79">
        <f>IF(AG72="5",J72,0)</f>
        <v>0</v>
      </c>
      <c r="R72" s="79">
        <f>IF(AG72="1",H72,0)</f>
        <v>0</v>
      </c>
      <c r="S72" s="79">
        <f>IF(AG72="1",I72,0)</f>
        <v>0</v>
      </c>
      <c r="T72" s="79">
        <f>IF(AG72="7",H72,0)</f>
        <v>0</v>
      </c>
      <c r="U72" s="79">
        <f>IF(AG72="7",I72,0)</f>
        <v>0</v>
      </c>
      <c r="V72" s="79">
        <f>IF(AG72="2",H72,0)</f>
        <v>0</v>
      </c>
      <c r="W72" s="79">
        <f>IF(AG72="2",I72,0)</f>
        <v>0</v>
      </c>
      <c r="X72" s="79">
        <f>IF(AG72="0",J72,0)</f>
        <v>0</v>
      </c>
      <c r="Y72" s="101"/>
      <c r="Z72" s="95">
        <f>IF(AD72=0,J72,0)</f>
        <v>0</v>
      </c>
      <c r="AA72" s="95">
        <f>IF(AD72=15,J72,0)</f>
        <v>0</v>
      </c>
      <c r="AB72" s="95">
        <f>IF(AD72=21,J72,0)</f>
        <v>0</v>
      </c>
      <c r="AD72" s="79">
        <v>15</v>
      </c>
      <c r="AE72" s="79">
        <f>G72*0.693535620052771</f>
        <v>0</v>
      </c>
      <c r="AF72" s="79">
        <f>G72*(1-0.693535620052771)</f>
        <v>0</v>
      </c>
      <c r="AG72" s="104" t="s">
        <v>72</v>
      </c>
      <c r="AM72" s="79">
        <f>F72*AE72</f>
        <v>0</v>
      </c>
      <c r="AN72" s="79">
        <f>F72*AF72</f>
        <v>0</v>
      </c>
      <c r="AO72" s="107" t="s">
        <v>330</v>
      </c>
      <c r="AP72" s="107" t="s">
        <v>339</v>
      </c>
      <c r="AQ72" s="101" t="s">
        <v>340</v>
      </c>
      <c r="AS72" s="79">
        <f>AM72+AN72</f>
        <v>0</v>
      </c>
      <c r="AT72" s="79">
        <f>G72/(100-AU72)*100</f>
        <v>0</v>
      </c>
      <c r="AU72" s="79">
        <v>0</v>
      </c>
      <c r="AV72" s="79">
        <f>L72</f>
        <v>0.0122445</v>
      </c>
    </row>
    <row r="73" spans="1:37" ht="12.75">
      <c r="A73" s="85"/>
      <c r="B73" s="92"/>
      <c r="C73" s="92" t="s">
        <v>191</v>
      </c>
      <c r="D73" s="92" t="s">
        <v>271</v>
      </c>
      <c r="E73" s="85" t="s">
        <v>58</v>
      </c>
      <c r="F73" s="85" t="s">
        <v>58</v>
      </c>
      <c r="G73" s="85" t="s">
        <v>58</v>
      </c>
      <c r="H73" s="109">
        <f>SUM(H74:H79)</f>
        <v>0</v>
      </c>
      <c r="I73" s="109">
        <f>SUM(I74:I79)</f>
        <v>0</v>
      </c>
      <c r="J73" s="109">
        <f>H73+I73</f>
        <v>0</v>
      </c>
      <c r="K73" s="101"/>
      <c r="L73" s="109">
        <f>SUM(L74:L79)</f>
        <v>20.86485824</v>
      </c>
      <c r="M73" s="101"/>
      <c r="Y73" s="101"/>
      <c r="AI73" s="109">
        <f>SUM(Z74:Z79)</f>
        <v>0</v>
      </c>
      <c r="AJ73" s="109">
        <f>SUM(AA74:AA79)</f>
        <v>0</v>
      </c>
      <c r="AK73" s="109">
        <f>SUM(AB74:AB79)</f>
        <v>0</v>
      </c>
    </row>
    <row r="74" spans="1:48" ht="12.75">
      <c r="A74" s="86" t="s">
        <v>119</v>
      </c>
      <c r="B74" s="86"/>
      <c r="C74" s="86" t="s">
        <v>192</v>
      </c>
      <c r="D74" s="86" t="s">
        <v>272</v>
      </c>
      <c r="E74" s="86" t="s">
        <v>289</v>
      </c>
      <c r="F74" s="95">
        <v>2.496</v>
      </c>
      <c r="G74" s="95">
        <v>0</v>
      </c>
      <c r="H74" s="95">
        <f>F74*AE74</f>
        <v>0</v>
      </c>
      <c r="I74" s="95">
        <f>J74-H74</f>
        <v>0</v>
      </c>
      <c r="J74" s="95">
        <f>F74*G74</f>
        <v>0</v>
      </c>
      <c r="K74" s="95">
        <v>0.57034</v>
      </c>
      <c r="L74" s="95">
        <f>F74*K74</f>
        <v>1.4235686399999998</v>
      </c>
      <c r="M74" s="104" t="s">
        <v>308</v>
      </c>
      <c r="P74" s="79">
        <f>IF(AG74="5",J74,0)</f>
        <v>0</v>
      </c>
      <c r="R74" s="79">
        <f>IF(AG74="1",H74,0)</f>
        <v>0</v>
      </c>
      <c r="S74" s="79">
        <f>IF(AG74="1",I74,0)</f>
        <v>0</v>
      </c>
      <c r="T74" s="79">
        <f>IF(AG74="7",H74,0)</f>
        <v>0</v>
      </c>
      <c r="U74" s="79">
        <f>IF(AG74="7",I74,0)</f>
        <v>0</v>
      </c>
      <c r="V74" s="79">
        <f>IF(AG74="2",H74,0)</f>
        <v>0</v>
      </c>
      <c r="W74" s="79">
        <f>IF(AG74="2",I74,0)</f>
        <v>0</v>
      </c>
      <c r="X74" s="79">
        <f>IF(AG74="0",J74,0)</f>
        <v>0</v>
      </c>
      <c r="Y74" s="101"/>
      <c r="Z74" s="95">
        <f>IF(AD74=0,J74,0)</f>
        <v>0</v>
      </c>
      <c r="AA74" s="95">
        <f>IF(AD74=15,J74,0)</f>
        <v>0</v>
      </c>
      <c r="AB74" s="95">
        <f>IF(AD74=21,J74,0)</f>
        <v>0</v>
      </c>
      <c r="AD74" s="79">
        <v>15</v>
      </c>
      <c r="AE74" s="79">
        <f>G74*0.0134630382847977</f>
        <v>0</v>
      </c>
      <c r="AF74" s="79">
        <f>G74*(1-0.0134630382847977)</f>
        <v>0</v>
      </c>
      <c r="AG74" s="104" t="s">
        <v>72</v>
      </c>
      <c r="AM74" s="79">
        <f>F74*AE74</f>
        <v>0</v>
      </c>
      <c r="AN74" s="79">
        <f>F74*AF74</f>
        <v>0</v>
      </c>
      <c r="AO74" s="107" t="s">
        <v>331</v>
      </c>
      <c r="AP74" s="107" t="s">
        <v>339</v>
      </c>
      <c r="AQ74" s="101" t="s">
        <v>340</v>
      </c>
      <c r="AS74" s="79">
        <f>AM74+AN74</f>
        <v>0</v>
      </c>
      <c r="AT74" s="79">
        <f>G74/(100-AU74)*100</f>
        <v>0</v>
      </c>
      <c r="AU74" s="79">
        <v>0</v>
      </c>
      <c r="AV74" s="79">
        <f>L74</f>
        <v>1.4235686399999998</v>
      </c>
    </row>
    <row r="75" spans="1:48" ht="12.75">
      <c r="A75" s="86" t="s">
        <v>120</v>
      </c>
      <c r="B75" s="86"/>
      <c r="C75" s="86" t="s">
        <v>193</v>
      </c>
      <c r="D75" s="86" t="s">
        <v>273</v>
      </c>
      <c r="E75" s="86" t="s">
        <v>289</v>
      </c>
      <c r="F75" s="95">
        <v>187.06</v>
      </c>
      <c r="G75" s="95">
        <v>0</v>
      </c>
      <c r="H75" s="95">
        <f>F75*AE75</f>
        <v>0</v>
      </c>
      <c r="I75" s="95">
        <f>J75-H75</f>
        <v>0</v>
      </c>
      <c r="J75" s="95">
        <f>F75*G75</f>
        <v>0</v>
      </c>
      <c r="K75" s="95">
        <v>0</v>
      </c>
      <c r="L75" s="95">
        <f>F75*K75</f>
        <v>0</v>
      </c>
      <c r="M75" s="104" t="s">
        <v>308</v>
      </c>
      <c r="P75" s="79">
        <f>IF(AG75="5",J75,0)</f>
        <v>0</v>
      </c>
      <c r="R75" s="79">
        <f>IF(AG75="1",H75,0)</f>
        <v>0</v>
      </c>
      <c r="S75" s="79">
        <f>IF(AG75="1",I75,0)</f>
        <v>0</v>
      </c>
      <c r="T75" s="79">
        <f>IF(AG75="7",H75,0)</f>
        <v>0</v>
      </c>
      <c r="U75" s="79">
        <f>IF(AG75="7",I75,0)</f>
        <v>0</v>
      </c>
      <c r="V75" s="79">
        <f>IF(AG75="2",H75,0)</f>
        <v>0</v>
      </c>
      <c r="W75" s="79">
        <f>IF(AG75="2",I75,0)</f>
        <v>0</v>
      </c>
      <c r="X75" s="79">
        <f>IF(AG75="0",J75,0)</f>
        <v>0</v>
      </c>
      <c r="Y75" s="101"/>
      <c r="Z75" s="95">
        <f>IF(AD75=0,J75,0)</f>
        <v>0</v>
      </c>
      <c r="AA75" s="95">
        <f>IF(AD75=15,J75,0)</f>
        <v>0</v>
      </c>
      <c r="AB75" s="95">
        <f>IF(AD75=21,J75,0)</f>
        <v>0</v>
      </c>
      <c r="AD75" s="79">
        <v>15</v>
      </c>
      <c r="AE75" s="79">
        <f>G75*0.00135970369685095</f>
        <v>0</v>
      </c>
      <c r="AF75" s="79">
        <f>G75*(1-0.00135970369685095)</f>
        <v>0</v>
      </c>
      <c r="AG75" s="104" t="s">
        <v>72</v>
      </c>
      <c r="AM75" s="79">
        <f>F75*AE75</f>
        <v>0</v>
      </c>
      <c r="AN75" s="79">
        <f>F75*AF75</f>
        <v>0</v>
      </c>
      <c r="AO75" s="107" t="s">
        <v>331</v>
      </c>
      <c r="AP75" s="107" t="s">
        <v>339</v>
      </c>
      <c r="AQ75" s="101" t="s">
        <v>340</v>
      </c>
      <c r="AS75" s="79">
        <f>AM75+AN75</f>
        <v>0</v>
      </c>
      <c r="AT75" s="79">
        <f>G75/(100-AU75)*100</f>
        <v>0</v>
      </c>
      <c r="AU75" s="79">
        <v>0</v>
      </c>
      <c r="AV75" s="79">
        <f>L75</f>
        <v>0</v>
      </c>
    </row>
    <row r="76" spans="1:48" ht="12.75">
      <c r="A76" s="86" t="s">
        <v>121</v>
      </c>
      <c r="B76" s="86"/>
      <c r="C76" s="86" t="s">
        <v>194</v>
      </c>
      <c r="D76" s="86" t="s">
        <v>274</v>
      </c>
      <c r="E76" s="86" t="s">
        <v>289</v>
      </c>
      <c r="F76" s="95">
        <v>187.06</v>
      </c>
      <c r="G76" s="95">
        <v>0</v>
      </c>
      <c r="H76" s="95">
        <f>F76*AE76</f>
        <v>0</v>
      </c>
      <c r="I76" s="95">
        <f>J76-H76</f>
        <v>0</v>
      </c>
      <c r="J76" s="95">
        <f>F76*G76</f>
        <v>0</v>
      </c>
      <c r="K76" s="95">
        <v>0.092</v>
      </c>
      <c r="L76" s="95">
        <f>F76*K76</f>
        <v>17.20952</v>
      </c>
      <c r="M76" s="104" t="s">
        <v>308</v>
      </c>
      <c r="P76" s="79">
        <f>IF(AG76="5",J76,0)</f>
        <v>0</v>
      </c>
      <c r="R76" s="79">
        <f>IF(AG76="1",H76,0)</f>
        <v>0</v>
      </c>
      <c r="S76" s="79">
        <f>IF(AG76="1",I76,0)</f>
        <v>0</v>
      </c>
      <c r="T76" s="79">
        <f>IF(AG76="7",H76,0)</f>
        <v>0</v>
      </c>
      <c r="U76" s="79">
        <f>IF(AG76="7",I76,0)</f>
        <v>0</v>
      </c>
      <c r="V76" s="79">
        <f>IF(AG76="2",H76,0)</f>
        <v>0</v>
      </c>
      <c r="W76" s="79">
        <f>IF(AG76="2",I76,0)</f>
        <v>0</v>
      </c>
      <c r="X76" s="79">
        <f>IF(AG76="0",J76,0)</f>
        <v>0</v>
      </c>
      <c r="Y76" s="101"/>
      <c r="Z76" s="95">
        <f>IF(AD76=0,J76,0)</f>
        <v>0</v>
      </c>
      <c r="AA76" s="95">
        <f>IF(AD76=15,J76,0)</f>
        <v>0</v>
      </c>
      <c r="AB76" s="95">
        <f>IF(AD76=21,J76,0)</f>
        <v>0</v>
      </c>
      <c r="AD76" s="79">
        <v>15</v>
      </c>
      <c r="AE76" s="79">
        <f>G76*0</f>
        <v>0</v>
      </c>
      <c r="AF76" s="79">
        <f>G76*(1-0)</f>
        <v>0</v>
      </c>
      <c r="AG76" s="104" t="s">
        <v>72</v>
      </c>
      <c r="AM76" s="79">
        <f>F76*AE76</f>
        <v>0</v>
      </c>
      <c r="AN76" s="79">
        <f>F76*AF76</f>
        <v>0</v>
      </c>
      <c r="AO76" s="107" t="s">
        <v>331</v>
      </c>
      <c r="AP76" s="107" t="s">
        <v>339</v>
      </c>
      <c r="AQ76" s="101" t="s">
        <v>340</v>
      </c>
      <c r="AS76" s="79">
        <f>AM76+AN76</f>
        <v>0</v>
      </c>
      <c r="AT76" s="79">
        <f>G76/(100-AU76)*100</f>
        <v>0</v>
      </c>
      <c r="AU76" s="79">
        <v>0</v>
      </c>
      <c r="AV76" s="79">
        <f>L76</f>
        <v>17.20952</v>
      </c>
    </row>
    <row r="77" spans="1:48" ht="12.75">
      <c r="A77" s="86" t="s">
        <v>122</v>
      </c>
      <c r="B77" s="86"/>
      <c r="C77" s="86" t="s">
        <v>195</v>
      </c>
      <c r="D77" s="86" t="s">
        <v>275</v>
      </c>
      <c r="E77" s="86" t="s">
        <v>289</v>
      </c>
      <c r="F77" s="95">
        <v>2.88</v>
      </c>
      <c r="G77" s="95">
        <v>0</v>
      </c>
      <c r="H77" s="95">
        <f>F77*AE77</f>
        <v>0</v>
      </c>
      <c r="I77" s="95">
        <f>J77-H77</f>
        <v>0</v>
      </c>
      <c r="J77" s="95">
        <f>F77*G77</f>
        <v>0</v>
      </c>
      <c r="K77" s="95">
        <v>0.04319</v>
      </c>
      <c r="L77" s="95">
        <f>F77*K77</f>
        <v>0.12438719999999999</v>
      </c>
      <c r="M77" s="104" t="s">
        <v>308</v>
      </c>
      <c r="P77" s="79">
        <f>IF(AG77="5",J77,0)</f>
        <v>0</v>
      </c>
      <c r="R77" s="79">
        <f>IF(AG77="1",H77,0)</f>
        <v>0</v>
      </c>
      <c r="S77" s="79">
        <f>IF(AG77="1",I77,0)</f>
        <v>0</v>
      </c>
      <c r="T77" s="79">
        <f>IF(AG77="7",H77,0)</f>
        <v>0</v>
      </c>
      <c r="U77" s="79">
        <f>IF(AG77="7",I77,0)</f>
        <v>0</v>
      </c>
      <c r="V77" s="79">
        <f>IF(AG77="2",H77,0)</f>
        <v>0</v>
      </c>
      <c r="W77" s="79">
        <f>IF(AG77="2",I77,0)</f>
        <v>0</v>
      </c>
      <c r="X77" s="79">
        <f>IF(AG77="0",J77,0)</f>
        <v>0</v>
      </c>
      <c r="Y77" s="101"/>
      <c r="Z77" s="95">
        <f>IF(AD77=0,J77,0)</f>
        <v>0</v>
      </c>
      <c r="AA77" s="95">
        <f>IF(AD77=15,J77,0)</f>
        <v>0</v>
      </c>
      <c r="AB77" s="95">
        <f>IF(AD77=21,J77,0)</f>
        <v>0</v>
      </c>
      <c r="AD77" s="79">
        <v>15</v>
      </c>
      <c r="AE77" s="79">
        <f>G77*0.24739336492891</f>
        <v>0</v>
      </c>
      <c r="AF77" s="79">
        <f>G77*(1-0.24739336492891)</f>
        <v>0</v>
      </c>
      <c r="AG77" s="104" t="s">
        <v>72</v>
      </c>
      <c r="AM77" s="79">
        <f>F77*AE77</f>
        <v>0</v>
      </c>
      <c r="AN77" s="79">
        <f>F77*AF77</f>
        <v>0</v>
      </c>
      <c r="AO77" s="107" t="s">
        <v>331</v>
      </c>
      <c r="AP77" s="107" t="s">
        <v>339</v>
      </c>
      <c r="AQ77" s="101" t="s">
        <v>340</v>
      </c>
      <c r="AS77" s="79">
        <f>AM77+AN77</f>
        <v>0</v>
      </c>
      <c r="AT77" s="79">
        <f>G77/(100-AU77)*100</f>
        <v>0</v>
      </c>
      <c r="AU77" s="79">
        <v>0</v>
      </c>
      <c r="AV77" s="79">
        <f>L77</f>
        <v>0.12438719999999999</v>
      </c>
    </row>
    <row r="78" spans="1:48" ht="12.75">
      <c r="A78" s="86" t="s">
        <v>123</v>
      </c>
      <c r="B78" s="86"/>
      <c r="C78" s="86" t="s">
        <v>196</v>
      </c>
      <c r="D78" s="86" t="s">
        <v>276</v>
      </c>
      <c r="E78" s="86" t="s">
        <v>294</v>
      </c>
      <c r="F78" s="95">
        <v>6</v>
      </c>
      <c r="G78" s="95">
        <v>0</v>
      </c>
      <c r="H78" s="95">
        <f>F78*AE78</f>
        <v>0</v>
      </c>
      <c r="I78" s="95">
        <f>J78-H78</f>
        <v>0</v>
      </c>
      <c r="J78" s="95">
        <f>F78*G78</f>
        <v>0</v>
      </c>
      <c r="K78" s="95">
        <v>0</v>
      </c>
      <c r="L78" s="95">
        <f>F78*K78</f>
        <v>0</v>
      </c>
      <c r="M78" s="104" t="s">
        <v>308</v>
      </c>
      <c r="P78" s="79">
        <f>IF(AG78="5",J78,0)</f>
        <v>0</v>
      </c>
      <c r="R78" s="79">
        <f>IF(AG78="1",H78,0)</f>
        <v>0</v>
      </c>
      <c r="S78" s="79">
        <f>IF(AG78="1",I78,0)</f>
        <v>0</v>
      </c>
      <c r="T78" s="79">
        <f>IF(AG78="7",H78,0)</f>
        <v>0</v>
      </c>
      <c r="U78" s="79">
        <f>IF(AG78="7",I78,0)</f>
        <v>0</v>
      </c>
      <c r="V78" s="79">
        <f>IF(AG78="2",H78,0)</f>
        <v>0</v>
      </c>
      <c r="W78" s="79">
        <f>IF(AG78="2",I78,0)</f>
        <v>0</v>
      </c>
      <c r="X78" s="79">
        <f>IF(AG78="0",J78,0)</f>
        <v>0</v>
      </c>
      <c r="Y78" s="101"/>
      <c r="Z78" s="95">
        <f>IF(AD78=0,J78,0)</f>
        <v>0</v>
      </c>
      <c r="AA78" s="95">
        <f>IF(AD78=15,J78,0)</f>
        <v>0</v>
      </c>
      <c r="AB78" s="95">
        <f>IF(AD78=21,J78,0)</f>
        <v>0</v>
      </c>
      <c r="AD78" s="79">
        <v>15</v>
      </c>
      <c r="AE78" s="79">
        <f>G78*0</f>
        <v>0</v>
      </c>
      <c r="AF78" s="79">
        <f>G78*(1-0)</f>
        <v>0</v>
      </c>
      <c r="AG78" s="104" t="s">
        <v>72</v>
      </c>
      <c r="AM78" s="79">
        <f>F78*AE78</f>
        <v>0</v>
      </c>
      <c r="AN78" s="79">
        <f>F78*AF78</f>
        <v>0</v>
      </c>
      <c r="AO78" s="107" t="s">
        <v>331</v>
      </c>
      <c r="AP78" s="107" t="s">
        <v>339</v>
      </c>
      <c r="AQ78" s="101" t="s">
        <v>340</v>
      </c>
      <c r="AS78" s="79">
        <f>AM78+AN78</f>
        <v>0</v>
      </c>
      <c r="AT78" s="79">
        <f>G78/(100-AU78)*100</f>
        <v>0</v>
      </c>
      <c r="AU78" s="79">
        <v>0</v>
      </c>
      <c r="AV78" s="79">
        <f>L78</f>
        <v>0</v>
      </c>
    </row>
    <row r="79" spans="1:48" ht="12.75">
      <c r="A79" s="86" t="s">
        <v>124</v>
      </c>
      <c r="B79" s="86"/>
      <c r="C79" s="86" t="s">
        <v>197</v>
      </c>
      <c r="D79" s="86" t="s">
        <v>277</v>
      </c>
      <c r="E79" s="86" t="s">
        <v>290</v>
      </c>
      <c r="F79" s="95">
        <v>1.08</v>
      </c>
      <c r="G79" s="95">
        <v>0</v>
      </c>
      <c r="H79" s="95">
        <f>F79*AE79</f>
        <v>0</v>
      </c>
      <c r="I79" s="95">
        <f>J79-H79</f>
        <v>0</v>
      </c>
      <c r="J79" s="95">
        <f>F79*G79</f>
        <v>0</v>
      </c>
      <c r="K79" s="95">
        <v>1.95128</v>
      </c>
      <c r="L79" s="95">
        <f>F79*K79</f>
        <v>2.1073824</v>
      </c>
      <c r="M79" s="104" t="s">
        <v>308</v>
      </c>
      <c r="P79" s="79">
        <f>IF(AG79="5",J79,0)</f>
        <v>0</v>
      </c>
      <c r="R79" s="79">
        <f>IF(AG79="1",H79,0)</f>
        <v>0</v>
      </c>
      <c r="S79" s="79">
        <f>IF(AG79="1",I79,0)</f>
        <v>0</v>
      </c>
      <c r="T79" s="79">
        <f>IF(AG79="7",H79,0)</f>
        <v>0</v>
      </c>
      <c r="U79" s="79">
        <f>IF(AG79="7",I79,0)</f>
        <v>0</v>
      </c>
      <c r="V79" s="79">
        <f>IF(AG79="2",H79,0)</f>
        <v>0</v>
      </c>
      <c r="W79" s="79">
        <f>IF(AG79="2",I79,0)</f>
        <v>0</v>
      </c>
      <c r="X79" s="79">
        <f>IF(AG79="0",J79,0)</f>
        <v>0</v>
      </c>
      <c r="Y79" s="101"/>
      <c r="Z79" s="95">
        <f>IF(AD79=0,J79,0)</f>
        <v>0</v>
      </c>
      <c r="AA79" s="95">
        <f>IF(AD79=15,J79,0)</f>
        <v>0</v>
      </c>
      <c r="AB79" s="95">
        <f>IF(AD79=21,J79,0)</f>
        <v>0</v>
      </c>
      <c r="AD79" s="79">
        <v>15</v>
      </c>
      <c r="AE79" s="79">
        <f>G79*0.0126709311028635</f>
        <v>0</v>
      </c>
      <c r="AF79" s="79">
        <f>G79*(1-0.0126709311028635)</f>
        <v>0</v>
      </c>
      <c r="AG79" s="104" t="s">
        <v>72</v>
      </c>
      <c r="AM79" s="79">
        <f>F79*AE79</f>
        <v>0</v>
      </c>
      <c r="AN79" s="79">
        <f>F79*AF79</f>
        <v>0</v>
      </c>
      <c r="AO79" s="107" t="s">
        <v>331</v>
      </c>
      <c r="AP79" s="107" t="s">
        <v>339</v>
      </c>
      <c r="AQ79" s="101" t="s">
        <v>340</v>
      </c>
      <c r="AS79" s="79">
        <f>AM79+AN79</f>
        <v>0</v>
      </c>
      <c r="AT79" s="79">
        <f>G79/(100-AU79)*100</f>
        <v>0</v>
      </c>
      <c r="AU79" s="79">
        <v>0</v>
      </c>
      <c r="AV79" s="79">
        <f>L79</f>
        <v>2.1073824</v>
      </c>
    </row>
    <row r="80" spans="1:37" ht="12.75">
      <c r="A80" s="85"/>
      <c r="B80" s="92"/>
      <c r="C80" s="92" t="s">
        <v>198</v>
      </c>
      <c r="D80" s="92" t="s">
        <v>278</v>
      </c>
      <c r="E80" s="85" t="s">
        <v>58</v>
      </c>
      <c r="F80" s="85" t="s">
        <v>58</v>
      </c>
      <c r="G80" s="85" t="s">
        <v>58</v>
      </c>
      <c r="H80" s="109">
        <f>SUM(H81:H81)</f>
        <v>0</v>
      </c>
      <c r="I80" s="109">
        <f>SUM(I81:I81)</f>
        <v>0</v>
      </c>
      <c r="J80" s="109">
        <f>H80+I80</f>
        <v>0</v>
      </c>
      <c r="K80" s="101"/>
      <c r="L80" s="109">
        <f>SUM(L81:L81)</f>
        <v>0</v>
      </c>
      <c r="M80" s="101"/>
      <c r="Y80" s="101"/>
      <c r="AI80" s="109">
        <f>SUM(Z81:Z81)</f>
        <v>0</v>
      </c>
      <c r="AJ80" s="109">
        <f>SUM(AA81:AA81)</f>
        <v>0</v>
      </c>
      <c r="AK80" s="109">
        <f>SUM(AB81:AB81)</f>
        <v>0</v>
      </c>
    </row>
    <row r="81" spans="1:48" ht="12.75">
      <c r="A81" s="86" t="s">
        <v>125</v>
      </c>
      <c r="B81" s="86"/>
      <c r="C81" s="86" t="s">
        <v>199</v>
      </c>
      <c r="D81" s="86" t="s">
        <v>279</v>
      </c>
      <c r="E81" s="86" t="s">
        <v>296</v>
      </c>
      <c r="F81" s="95">
        <v>11.10639</v>
      </c>
      <c r="G81" s="95">
        <v>0</v>
      </c>
      <c r="H81" s="95">
        <f>F81*AE81</f>
        <v>0</v>
      </c>
      <c r="I81" s="95">
        <f>J81-H81</f>
        <v>0</v>
      </c>
      <c r="J81" s="95">
        <f>F81*G81</f>
        <v>0</v>
      </c>
      <c r="K81" s="95">
        <v>0</v>
      </c>
      <c r="L81" s="95">
        <f>F81*K81</f>
        <v>0</v>
      </c>
      <c r="M81" s="104" t="s">
        <v>308</v>
      </c>
      <c r="P81" s="79">
        <f>IF(AG81="5",J81,0)</f>
        <v>0</v>
      </c>
      <c r="R81" s="79">
        <f>IF(AG81="1",H81,0)</f>
        <v>0</v>
      </c>
      <c r="S81" s="79">
        <f>IF(AG81="1",I81,0)</f>
        <v>0</v>
      </c>
      <c r="T81" s="79">
        <f>IF(AG81="7",H81,0)</f>
        <v>0</v>
      </c>
      <c r="U81" s="79">
        <f>IF(AG81="7",I81,0)</f>
        <v>0</v>
      </c>
      <c r="V81" s="79">
        <f>IF(AG81="2",H81,0)</f>
        <v>0</v>
      </c>
      <c r="W81" s="79">
        <f>IF(AG81="2",I81,0)</f>
        <v>0</v>
      </c>
      <c r="X81" s="79">
        <f>IF(AG81="0",J81,0)</f>
        <v>0</v>
      </c>
      <c r="Y81" s="101"/>
      <c r="Z81" s="95">
        <f>IF(AD81=0,J81,0)</f>
        <v>0</v>
      </c>
      <c r="AA81" s="95">
        <f>IF(AD81=15,J81,0)</f>
        <v>0</v>
      </c>
      <c r="AB81" s="95">
        <f>IF(AD81=21,J81,0)</f>
        <v>0</v>
      </c>
      <c r="AD81" s="79">
        <v>15</v>
      </c>
      <c r="AE81" s="79">
        <f>G81*0</f>
        <v>0</v>
      </c>
      <c r="AF81" s="79">
        <f>G81*(1-0)</f>
        <v>0</v>
      </c>
      <c r="AG81" s="104" t="s">
        <v>76</v>
      </c>
      <c r="AM81" s="79">
        <f>F81*AE81</f>
        <v>0</v>
      </c>
      <c r="AN81" s="79">
        <f>F81*AF81</f>
        <v>0</v>
      </c>
      <c r="AO81" s="107" t="s">
        <v>332</v>
      </c>
      <c r="AP81" s="107" t="s">
        <v>339</v>
      </c>
      <c r="AQ81" s="101" t="s">
        <v>340</v>
      </c>
      <c r="AS81" s="79">
        <f>AM81+AN81</f>
        <v>0</v>
      </c>
      <c r="AT81" s="79">
        <f>G81/(100-AU81)*100</f>
        <v>0</v>
      </c>
      <c r="AU81" s="79">
        <v>0</v>
      </c>
      <c r="AV81" s="79">
        <f>L81</f>
        <v>0</v>
      </c>
    </row>
    <row r="82" spans="1:37" ht="12.75">
      <c r="A82" s="85"/>
      <c r="B82" s="92"/>
      <c r="C82" s="92" t="s">
        <v>200</v>
      </c>
      <c r="D82" s="92" t="s">
        <v>280</v>
      </c>
      <c r="E82" s="85" t="s">
        <v>58</v>
      </c>
      <c r="F82" s="85" t="s">
        <v>58</v>
      </c>
      <c r="G82" s="85" t="s">
        <v>58</v>
      </c>
      <c r="H82" s="109">
        <f>SUM(H83:H89)</f>
        <v>0</v>
      </c>
      <c r="I82" s="109">
        <f>SUM(I83:I89)</f>
        <v>0</v>
      </c>
      <c r="J82" s="109">
        <f>H82+I82</f>
        <v>0</v>
      </c>
      <c r="K82" s="101"/>
      <c r="L82" s="109">
        <f>SUM(L83:L89)</f>
        <v>0</v>
      </c>
      <c r="M82" s="101"/>
      <c r="Y82" s="101"/>
      <c r="AI82" s="109">
        <f>SUM(Z83:Z89)</f>
        <v>0</v>
      </c>
      <c r="AJ82" s="109">
        <f>SUM(AA83:AA89)</f>
        <v>0</v>
      </c>
      <c r="AK82" s="109">
        <f>SUM(AB83:AB89)</f>
        <v>0</v>
      </c>
    </row>
    <row r="83" spans="1:48" ht="12.75">
      <c r="A83" s="86" t="s">
        <v>126</v>
      </c>
      <c r="B83" s="86"/>
      <c r="C83" s="86" t="s">
        <v>201</v>
      </c>
      <c r="D83" s="86" t="s">
        <v>281</v>
      </c>
      <c r="E83" s="86" t="s">
        <v>296</v>
      </c>
      <c r="F83" s="95">
        <v>12.76976</v>
      </c>
      <c r="G83" s="95">
        <v>0</v>
      </c>
      <c r="H83" s="95">
        <f>F83*AE83</f>
        <v>0</v>
      </c>
      <c r="I83" s="95">
        <f>J83-H83</f>
        <v>0</v>
      </c>
      <c r="J83" s="95">
        <f>F83*G83</f>
        <v>0</v>
      </c>
      <c r="K83" s="95">
        <v>0</v>
      </c>
      <c r="L83" s="95">
        <f>F83*K83</f>
        <v>0</v>
      </c>
      <c r="M83" s="104" t="s">
        <v>308</v>
      </c>
      <c r="P83" s="79">
        <f>IF(AG83="5",J83,0)</f>
        <v>0</v>
      </c>
      <c r="R83" s="79">
        <f>IF(AG83="1",H83,0)</f>
        <v>0</v>
      </c>
      <c r="S83" s="79">
        <f>IF(AG83="1",I83,0)</f>
        <v>0</v>
      </c>
      <c r="T83" s="79">
        <f>IF(AG83="7",H83,0)</f>
        <v>0</v>
      </c>
      <c r="U83" s="79">
        <f>IF(AG83="7",I83,0)</f>
        <v>0</v>
      </c>
      <c r="V83" s="79">
        <f>IF(AG83="2",H83,0)</f>
        <v>0</v>
      </c>
      <c r="W83" s="79">
        <f>IF(AG83="2",I83,0)</f>
        <v>0</v>
      </c>
      <c r="X83" s="79">
        <f>IF(AG83="0",J83,0)</f>
        <v>0</v>
      </c>
      <c r="Y83" s="101"/>
      <c r="Z83" s="95">
        <f>IF(AD83=0,J83,0)</f>
        <v>0</v>
      </c>
      <c r="AA83" s="95">
        <f>IF(AD83=15,J83,0)</f>
        <v>0</v>
      </c>
      <c r="AB83" s="95">
        <f>IF(AD83=21,J83,0)</f>
        <v>0</v>
      </c>
      <c r="AD83" s="79">
        <v>15</v>
      </c>
      <c r="AE83" s="79">
        <f>G83*0</f>
        <v>0</v>
      </c>
      <c r="AF83" s="79">
        <f>G83*(1-0)</f>
        <v>0</v>
      </c>
      <c r="AG83" s="104" t="s">
        <v>76</v>
      </c>
      <c r="AM83" s="79">
        <f>F83*AE83</f>
        <v>0</v>
      </c>
      <c r="AN83" s="79">
        <f>F83*AF83</f>
        <v>0</v>
      </c>
      <c r="AO83" s="107" t="s">
        <v>333</v>
      </c>
      <c r="AP83" s="107" t="s">
        <v>339</v>
      </c>
      <c r="AQ83" s="101" t="s">
        <v>340</v>
      </c>
      <c r="AS83" s="79">
        <f>AM83+AN83</f>
        <v>0</v>
      </c>
      <c r="AT83" s="79">
        <f>G83/(100-AU83)*100</f>
        <v>0</v>
      </c>
      <c r="AU83" s="79">
        <v>0</v>
      </c>
      <c r="AV83" s="79">
        <f>L83</f>
        <v>0</v>
      </c>
    </row>
    <row r="84" spans="1:48" ht="12.75">
      <c r="A84" s="86" t="s">
        <v>127</v>
      </c>
      <c r="B84" s="86"/>
      <c r="C84" s="86" t="s">
        <v>202</v>
      </c>
      <c r="D84" s="86" t="s">
        <v>282</v>
      </c>
      <c r="E84" s="86" t="s">
        <v>296</v>
      </c>
      <c r="F84" s="95">
        <v>25.53953</v>
      </c>
      <c r="G84" s="95">
        <v>0</v>
      </c>
      <c r="H84" s="95">
        <f>F84*AE84</f>
        <v>0</v>
      </c>
      <c r="I84" s="95">
        <f>J84-H84</f>
        <v>0</v>
      </c>
      <c r="J84" s="95">
        <f>F84*G84</f>
        <v>0</v>
      </c>
      <c r="K84" s="95">
        <v>0</v>
      </c>
      <c r="L84" s="95">
        <f>F84*K84</f>
        <v>0</v>
      </c>
      <c r="M84" s="104" t="s">
        <v>308</v>
      </c>
      <c r="P84" s="79">
        <f>IF(AG84="5",J84,0)</f>
        <v>0</v>
      </c>
      <c r="R84" s="79">
        <f>IF(AG84="1",H84,0)</f>
        <v>0</v>
      </c>
      <c r="S84" s="79">
        <f>IF(AG84="1",I84,0)</f>
        <v>0</v>
      </c>
      <c r="T84" s="79">
        <f>IF(AG84="7",H84,0)</f>
        <v>0</v>
      </c>
      <c r="U84" s="79">
        <f>IF(AG84="7",I84,0)</f>
        <v>0</v>
      </c>
      <c r="V84" s="79">
        <f>IF(AG84="2",H84,0)</f>
        <v>0</v>
      </c>
      <c r="W84" s="79">
        <f>IF(AG84="2",I84,0)</f>
        <v>0</v>
      </c>
      <c r="X84" s="79">
        <f>IF(AG84="0",J84,0)</f>
        <v>0</v>
      </c>
      <c r="Y84" s="101"/>
      <c r="Z84" s="95">
        <f>IF(AD84=0,J84,0)</f>
        <v>0</v>
      </c>
      <c r="AA84" s="95">
        <f>IF(AD84=15,J84,0)</f>
        <v>0</v>
      </c>
      <c r="AB84" s="95">
        <f>IF(AD84=21,J84,0)</f>
        <v>0</v>
      </c>
      <c r="AD84" s="79">
        <v>15</v>
      </c>
      <c r="AE84" s="79">
        <f>G84*0</f>
        <v>0</v>
      </c>
      <c r="AF84" s="79">
        <f>G84*(1-0)</f>
        <v>0</v>
      </c>
      <c r="AG84" s="104" t="s">
        <v>76</v>
      </c>
      <c r="AM84" s="79">
        <f>F84*AE84</f>
        <v>0</v>
      </c>
      <c r="AN84" s="79">
        <f>F84*AF84</f>
        <v>0</v>
      </c>
      <c r="AO84" s="107" t="s">
        <v>333</v>
      </c>
      <c r="AP84" s="107" t="s">
        <v>339</v>
      </c>
      <c r="AQ84" s="101" t="s">
        <v>340</v>
      </c>
      <c r="AS84" s="79">
        <f>AM84+AN84</f>
        <v>0</v>
      </c>
      <c r="AT84" s="79">
        <f>G84/(100-AU84)*100</f>
        <v>0</v>
      </c>
      <c r="AU84" s="79">
        <v>0</v>
      </c>
      <c r="AV84" s="79">
        <f>L84</f>
        <v>0</v>
      </c>
    </row>
    <row r="85" spans="1:48" ht="12.75">
      <c r="A85" s="86" t="s">
        <v>128</v>
      </c>
      <c r="B85" s="86"/>
      <c r="C85" s="86" t="s">
        <v>203</v>
      </c>
      <c r="D85" s="86" t="s">
        <v>283</v>
      </c>
      <c r="E85" s="86" t="s">
        <v>296</v>
      </c>
      <c r="F85" s="95">
        <v>12.76976</v>
      </c>
      <c r="G85" s="95">
        <v>0</v>
      </c>
      <c r="H85" s="95">
        <f>F85*AE85</f>
        <v>0</v>
      </c>
      <c r="I85" s="95">
        <f>J85-H85</f>
        <v>0</v>
      </c>
      <c r="J85" s="95">
        <f>F85*G85</f>
        <v>0</v>
      </c>
      <c r="K85" s="95">
        <v>0</v>
      </c>
      <c r="L85" s="95">
        <f>F85*K85</f>
        <v>0</v>
      </c>
      <c r="M85" s="104" t="s">
        <v>308</v>
      </c>
      <c r="P85" s="79">
        <f>IF(AG85="5",J85,0)</f>
        <v>0</v>
      </c>
      <c r="R85" s="79">
        <f>IF(AG85="1",H85,0)</f>
        <v>0</v>
      </c>
      <c r="S85" s="79">
        <f>IF(AG85="1",I85,0)</f>
        <v>0</v>
      </c>
      <c r="T85" s="79">
        <f>IF(AG85="7",H85,0)</f>
        <v>0</v>
      </c>
      <c r="U85" s="79">
        <f>IF(AG85="7",I85,0)</f>
        <v>0</v>
      </c>
      <c r="V85" s="79">
        <f>IF(AG85="2",H85,0)</f>
        <v>0</v>
      </c>
      <c r="W85" s="79">
        <f>IF(AG85="2",I85,0)</f>
        <v>0</v>
      </c>
      <c r="X85" s="79">
        <f>IF(AG85="0",J85,0)</f>
        <v>0</v>
      </c>
      <c r="Y85" s="101"/>
      <c r="Z85" s="95">
        <f>IF(AD85=0,J85,0)</f>
        <v>0</v>
      </c>
      <c r="AA85" s="95">
        <f>IF(AD85=15,J85,0)</f>
        <v>0</v>
      </c>
      <c r="AB85" s="95">
        <f>IF(AD85=21,J85,0)</f>
        <v>0</v>
      </c>
      <c r="AD85" s="79">
        <v>15</v>
      </c>
      <c r="AE85" s="79">
        <f>G85*0</f>
        <v>0</v>
      </c>
      <c r="AF85" s="79">
        <f>G85*(1-0)</f>
        <v>0</v>
      </c>
      <c r="AG85" s="104" t="s">
        <v>76</v>
      </c>
      <c r="AM85" s="79">
        <f>F85*AE85</f>
        <v>0</v>
      </c>
      <c r="AN85" s="79">
        <f>F85*AF85</f>
        <v>0</v>
      </c>
      <c r="AO85" s="107" t="s">
        <v>333</v>
      </c>
      <c r="AP85" s="107" t="s">
        <v>339</v>
      </c>
      <c r="AQ85" s="101" t="s">
        <v>340</v>
      </c>
      <c r="AS85" s="79">
        <f>AM85+AN85</f>
        <v>0</v>
      </c>
      <c r="AT85" s="79">
        <f>G85/(100-AU85)*100</f>
        <v>0</v>
      </c>
      <c r="AU85" s="79">
        <v>0</v>
      </c>
      <c r="AV85" s="79">
        <f>L85</f>
        <v>0</v>
      </c>
    </row>
    <row r="86" spans="1:48" ht="12.75">
      <c r="A86" s="86" t="s">
        <v>129</v>
      </c>
      <c r="B86" s="86"/>
      <c r="C86" s="86" t="s">
        <v>204</v>
      </c>
      <c r="D86" s="86" t="s">
        <v>284</v>
      </c>
      <c r="E86" s="86" t="s">
        <v>296</v>
      </c>
      <c r="F86" s="95">
        <v>51.07905</v>
      </c>
      <c r="G86" s="95">
        <v>0</v>
      </c>
      <c r="H86" s="95">
        <f>F86*AE86</f>
        <v>0</v>
      </c>
      <c r="I86" s="95">
        <f>J86-H86</f>
        <v>0</v>
      </c>
      <c r="J86" s="95">
        <f>F86*G86</f>
        <v>0</v>
      </c>
      <c r="K86" s="95">
        <v>0</v>
      </c>
      <c r="L86" s="95">
        <f>F86*K86</f>
        <v>0</v>
      </c>
      <c r="M86" s="104" t="s">
        <v>308</v>
      </c>
      <c r="P86" s="79">
        <f>IF(AG86="5",J86,0)</f>
        <v>0</v>
      </c>
      <c r="R86" s="79">
        <f>IF(AG86="1",H86,0)</f>
        <v>0</v>
      </c>
      <c r="S86" s="79">
        <f>IF(AG86="1",I86,0)</f>
        <v>0</v>
      </c>
      <c r="T86" s="79">
        <f>IF(AG86="7",H86,0)</f>
        <v>0</v>
      </c>
      <c r="U86" s="79">
        <f>IF(AG86="7",I86,0)</f>
        <v>0</v>
      </c>
      <c r="V86" s="79">
        <f>IF(AG86="2",H86,0)</f>
        <v>0</v>
      </c>
      <c r="W86" s="79">
        <f>IF(AG86="2",I86,0)</f>
        <v>0</v>
      </c>
      <c r="X86" s="79">
        <f>IF(AG86="0",J86,0)</f>
        <v>0</v>
      </c>
      <c r="Y86" s="101"/>
      <c r="Z86" s="95">
        <f>IF(AD86=0,J86,0)</f>
        <v>0</v>
      </c>
      <c r="AA86" s="95">
        <f>IF(AD86=15,J86,0)</f>
        <v>0</v>
      </c>
      <c r="AB86" s="95">
        <f>IF(AD86=21,J86,0)</f>
        <v>0</v>
      </c>
      <c r="AD86" s="79">
        <v>15</v>
      </c>
      <c r="AE86" s="79">
        <f>G86*0</f>
        <v>0</v>
      </c>
      <c r="AF86" s="79">
        <f>G86*(1-0)</f>
        <v>0</v>
      </c>
      <c r="AG86" s="104" t="s">
        <v>76</v>
      </c>
      <c r="AM86" s="79">
        <f>F86*AE86</f>
        <v>0</v>
      </c>
      <c r="AN86" s="79">
        <f>F86*AF86</f>
        <v>0</v>
      </c>
      <c r="AO86" s="107" t="s">
        <v>333</v>
      </c>
      <c r="AP86" s="107" t="s">
        <v>339</v>
      </c>
      <c r="AQ86" s="101" t="s">
        <v>340</v>
      </c>
      <c r="AS86" s="79">
        <f>AM86+AN86</f>
        <v>0</v>
      </c>
      <c r="AT86" s="79">
        <f>G86/(100-AU86)*100</f>
        <v>0</v>
      </c>
      <c r="AU86" s="79">
        <v>0</v>
      </c>
      <c r="AV86" s="79">
        <f>L86</f>
        <v>0</v>
      </c>
    </row>
    <row r="87" spans="1:48" ht="12.75">
      <c r="A87" s="86" t="s">
        <v>130</v>
      </c>
      <c r="B87" s="86"/>
      <c r="C87" s="86" t="s">
        <v>205</v>
      </c>
      <c r="D87" s="86" t="s">
        <v>285</v>
      </c>
      <c r="E87" s="86" t="s">
        <v>296</v>
      </c>
      <c r="F87" s="95">
        <v>12.76976</v>
      </c>
      <c r="G87" s="95">
        <v>0</v>
      </c>
      <c r="H87" s="95">
        <f>F87*AE87</f>
        <v>0</v>
      </c>
      <c r="I87" s="95">
        <f>J87-H87</f>
        <v>0</v>
      </c>
      <c r="J87" s="95">
        <f>F87*G87</f>
        <v>0</v>
      </c>
      <c r="K87" s="95">
        <v>0</v>
      </c>
      <c r="L87" s="95">
        <f>F87*K87</f>
        <v>0</v>
      </c>
      <c r="M87" s="104" t="s">
        <v>308</v>
      </c>
      <c r="P87" s="79">
        <f>IF(AG87="5",J87,0)</f>
        <v>0</v>
      </c>
      <c r="R87" s="79">
        <f>IF(AG87="1",H87,0)</f>
        <v>0</v>
      </c>
      <c r="S87" s="79">
        <f>IF(AG87="1",I87,0)</f>
        <v>0</v>
      </c>
      <c r="T87" s="79">
        <f>IF(AG87="7",H87,0)</f>
        <v>0</v>
      </c>
      <c r="U87" s="79">
        <f>IF(AG87="7",I87,0)</f>
        <v>0</v>
      </c>
      <c r="V87" s="79">
        <f>IF(AG87="2",H87,0)</f>
        <v>0</v>
      </c>
      <c r="W87" s="79">
        <f>IF(AG87="2",I87,0)</f>
        <v>0</v>
      </c>
      <c r="X87" s="79">
        <f>IF(AG87="0",J87,0)</f>
        <v>0</v>
      </c>
      <c r="Y87" s="101"/>
      <c r="Z87" s="95">
        <f>IF(AD87=0,J87,0)</f>
        <v>0</v>
      </c>
      <c r="AA87" s="95">
        <f>IF(AD87=15,J87,0)</f>
        <v>0</v>
      </c>
      <c r="AB87" s="95">
        <f>IF(AD87=21,J87,0)</f>
        <v>0</v>
      </c>
      <c r="AD87" s="79">
        <v>15</v>
      </c>
      <c r="AE87" s="79">
        <f>G87*0</f>
        <v>0</v>
      </c>
      <c r="AF87" s="79">
        <f>G87*(1-0)</f>
        <v>0</v>
      </c>
      <c r="AG87" s="104" t="s">
        <v>76</v>
      </c>
      <c r="AM87" s="79">
        <f>F87*AE87</f>
        <v>0</v>
      </c>
      <c r="AN87" s="79">
        <f>F87*AF87</f>
        <v>0</v>
      </c>
      <c r="AO87" s="107" t="s">
        <v>333</v>
      </c>
      <c r="AP87" s="107" t="s">
        <v>339</v>
      </c>
      <c r="AQ87" s="101" t="s">
        <v>340</v>
      </c>
      <c r="AS87" s="79">
        <f>AM87+AN87</f>
        <v>0</v>
      </c>
      <c r="AT87" s="79">
        <f>G87/(100-AU87)*100</f>
        <v>0</v>
      </c>
      <c r="AU87" s="79">
        <v>0</v>
      </c>
      <c r="AV87" s="79">
        <f>L87</f>
        <v>0</v>
      </c>
    </row>
    <row r="88" spans="1:48" ht="12.75">
      <c r="A88" s="86" t="s">
        <v>131</v>
      </c>
      <c r="B88" s="86"/>
      <c r="C88" s="86" t="s">
        <v>206</v>
      </c>
      <c r="D88" s="86" t="s">
        <v>286</v>
      </c>
      <c r="E88" s="86" t="s">
        <v>296</v>
      </c>
      <c r="F88" s="95">
        <v>12.76976</v>
      </c>
      <c r="G88" s="95">
        <v>0</v>
      </c>
      <c r="H88" s="95">
        <f>F88*AE88</f>
        <v>0</v>
      </c>
      <c r="I88" s="95">
        <f>J88-H88</f>
        <v>0</v>
      </c>
      <c r="J88" s="95">
        <f>F88*G88</f>
        <v>0</v>
      </c>
      <c r="K88" s="95">
        <v>0</v>
      </c>
      <c r="L88" s="95">
        <f>F88*K88</f>
        <v>0</v>
      </c>
      <c r="M88" s="104" t="s">
        <v>308</v>
      </c>
      <c r="P88" s="79">
        <f>IF(AG88="5",J88,0)</f>
        <v>0</v>
      </c>
      <c r="R88" s="79">
        <f>IF(AG88="1",H88,0)</f>
        <v>0</v>
      </c>
      <c r="S88" s="79">
        <f>IF(AG88="1",I88,0)</f>
        <v>0</v>
      </c>
      <c r="T88" s="79">
        <f>IF(AG88="7",H88,0)</f>
        <v>0</v>
      </c>
      <c r="U88" s="79">
        <f>IF(AG88="7",I88,0)</f>
        <v>0</v>
      </c>
      <c r="V88" s="79">
        <f>IF(AG88="2",H88,0)</f>
        <v>0</v>
      </c>
      <c r="W88" s="79">
        <f>IF(AG88="2",I88,0)</f>
        <v>0</v>
      </c>
      <c r="X88" s="79">
        <f>IF(AG88="0",J88,0)</f>
        <v>0</v>
      </c>
      <c r="Y88" s="101"/>
      <c r="Z88" s="95">
        <f>IF(AD88=0,J88,0)</f>
        <v>0</v>
      </c>
      <c r="AA88" s="95">
        <f>IF(AD88=15,J88,0)</f>
        <v>0</v>
      </c>
      <c r="AB88" s="95">
        <f>IF(AD88=21,J88,0)</f>
        <v>0</v>
      </c>
      <c r="AD88" s="79">
        <v>15</v>
      </c>
      <c r="AE88" s="79">
        <f>G88*0</f>
        <v>0</v>
      </c>
      <c r="AF88" s="79">
        <f>G88*(1-0)</f>
        <v>0</v>
      </c>
      <c r="AG88" s="104" t="s">
        <v>76</v>
      </c>
      <c r="AM88" s="79">
        <f>F88*AE88</f>
        <v>0</v>
      </c>
      <c r="AN88" s="79">
        <f>F88*AF88</f>
        <v>0</v>
      </c>
      <c r="AO88" s="107" t="s">
        <v>333</v>
      </c>
      <c r="AP88" s="107" t="s">
        <v>339</v>
      </c>
      <c r="AQ88" s="101" t="s">
        <v>340</v>
      </c>
      <c r="AS88" s="79">
        <f>AM88+AN88</f>
        <v>0</v>
      </c>
      <c r="AT88" s="79">
        <f>G88/(100-AU88)*100</f>
        <v>0</v>
      </c>
      <c r="AU88" s="79">
        <v>0</v>
      </c>
      <c r="AV88" s="79">
        <f>L88</f>
        <v>0</v>
      </c>
    </row>
    <row r="89" spans="1:48" ht="12.75">
      <c r="A89" s="88" t="s">
        <v>56</v>
      </c>
      <c r="B89" s="88"/>
      <c r="C89" s="88" t="s">
        <v>207</v>
      </c>
      <c r="D89" s="88" t="s">
        <v>287</v>
      </c>
      <c r="E89" s="88" t="s">
        <v>296</v>
      </c>
      <c r="F89" s="97">
        <v>127.6976</v>
      </c>
      <c r="G89" s="97">
        <v>0</v>
      </c>
      <c r="H89" s="97">
        <f>F89*AE89</f>
        <v>0</v>
      </c>
      <c r="I89" s="97">
        <f>J89-H89</f>
        <v>0</v>
      </c>
      <c r="J89" s="97">
        <f>F89*G89</f>
        <v>0</v>
      </c>
      <c r="K89" s="97">
        <v>0</v>
      </c>
      <c r="L89" s="97">
        <f>F89*K89</f>
        <v>0</v>
      </c>
      <c r="M89" s="106" t="s">
        <v>308</v>
      </c>
      <c r="P89" s="79">
        <f>IF(AG89="5",J89,0)</f>
        <v>0</v>
      </c>
      <c r="R89" s="79">
        <f>IF(AG89="1",H89,0)</f>
        <v>0</v>
      </c>
      <c r="S89" s="79">
        <f>IF(AG89="1",I89,0)</f>
        <v>0</v>
      </c>
      <c r="T89" s="79">
        <f>IF(AG89="7",H89,0)</f>
        <v>0</v>
      </c>
      <c r="U89" s="79">
        <f>IF(AG89="7",I89,0)</f>
        <v>0</v>
      </c>
      <c r="V89" s="79">
        <f>IF(AG89="2",H89,0)</f>
        <v>0</v>
      </c>
      <c r="W89" s="79">
        <f>IF(AG89="2",I89,0)</f>
        <v>0</v>
      </c>
      <c r="X89" s="79">
        <f>IF(AG89="0",J89,0)</f>
        <v>0</v>
      </c>
      <c r="Y89" s="101"/>
      <c r="Z89" s="95">
        <f>IF(AD89=0,J89,0)</f>
        <v>0</v>
      </c>
      <c r="AA89" s="95">
        <f>IF(AD89=15,J89,0)</f>
        <v>0</v>
      </c>
      <c r="AB89" s="95">
        <f>IF(AD89=21,J89,0)</f>
        <v>0</v>
      </c>
      <c r="AD89" s="79">
        <v>15</v>
      </c>
      <c r="AE89" s="79">
        <f>G89*0</f>
        <v>0</v>
      </c>
      <c r="AF89" s="79">
        <f>G89*(1-0)</f>
        <v>0</v>
      </c>
      <c r="AG89" s="104" t="s">
        <v>76</v>
      </c>
      <c r="AM89" s="79">
        <f>F89*AE89</f>
        <v>0</v>
      </c>
      <c r="AN89" s="79">
        <f>F89*AF89</f>
        <v>0</v>
      </c>
      <c r="AO89" s="107" t="s">
        <v>333</v>
      </c>
      <c r="AP89" s="107" t="s">
        <v>339</v>
      </c>
      <c r="AQ89" s="101" t="s">
        <v>340</v>
      </c>
      <c r="AS89" s="79">
        <f>AM89+AN89</f>
        <v>0</v>
      </c>
      <c r="AT89" s="79">
        <f>G89/(100-AU89)*100</f>
        <v>0</v>
      </c>
      <c r="AU89" s="79">
        <v>0</v>
      </c>
      <c r="AV89" s="79">
        <f>L89</f>
        <v>0</v>
      </c>
    </row>
    <row r="90" spans="1:13" ht="12.75">
      <c r="A90" s="12"/>
      <c r="B90" s="12"/>
      <c r="C90" s="12"/>
      <c r="D90" s="12"/>
      <c r="E90" s="12"/>
      <c r="F90" s="12"/>
      <c r="G90" s="12"/>
      <c r="H90" s="72" t="s">
        <v>66</v>
      </c>
      <c r="I90" s="38"/>
      <c r="J90" s="81">
        <f>J13+J15+J19+J21+J23+J29+J32+J48+J53+J58+J60+J62+J71+J73+J80+J82</f>
        <v>0</v>
      </c>
      <c r="K90" s="12"/>
      <c r="L90" s="12"/>
      <c r="M90" s="12"/>
    </row>
    <row r="91" ht="11.25" customHeight="1">
      <c r="A91" s="61" t="s">
        <v>18</v>
      </c>
    </row>
    <row r="92" spans="1:13" ht="12.75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</sheetData>
  <mergeCells count="29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H90:I90"/>
    <mergeCell ref="A92:M92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